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showInkAnnotation="0" codeName="ThisWorkbook" defaultThemeVersion="124226"/>
  <mc:AlternateContent xmlns:mc="http://schemas.openxmlformats.org/markup-compatibility/2006">
    <mc:Choice Requires="x15">
      <x15ac:absPath xmlns:x15ac="http://schemas.microsoft.com/office/spreadsheetml/2010/11/ac" url="O:\Veřejné zakázky, investice\2022\Obnova fasády průčelí domu č.p. 274 (směrem do náměstí), Králíky\"/>
    </mc:Choice>
  </mc:AlternateContent>
  <xr:revisionPtr revIDLastSave="0" documentId="13_ncr:1_{C8BB0FD8-FE79-4593-8E27-150AE1174473}" xr6:coauthVersionLast="47" xr6:coauthVersionMax="47" xr10:uidLastSave="{00000000-0000-0000-0000-000000000000}"/>
  <bookViews>
    <workbookView xWindow="-103" yWindow="-103" windowWidth="33120" windowHeight="18120" tabRatio="863" xr2:uid="{00000000-000D-0000-FFFF-FFFF00000000}"/>
  </bookViews>
  <sheets>
    <sheet name="1-Krycí list" sheetId="2" r:id="rId1"/>
    <sheet name="1-Rekapitulace" sheetId="1" r:id="rId2"/>
    <sheet name="1-Položky" sheetId="3" r:id="rId3"/>
  </sheets>
  <externalReferences>
    <externalReference r:id="rId4"/>
    <externalReference r:id="rId5"/>
    <externalReference r:id="rId6"/>
  </externalReferences>
  <definedNames>
    <definedName name="___BPK1">#REF!</definedName>
    <definedName name="___BPK2">#REF!</definedName>
    <definedName name="___BPK3">#REF!</definedName>
    <definedName name="__BPK1">[1]Položky!#REF!</definedName>
    <definedName name="__BPK2">[1]Položky!#REF!</definedName>
    <definedName name="__BPK3">[1]Položky!#REF!</definedName>
    <definedName name="Dodavka">[1]Rekapitulace!$G$36</definedName>
    <definedName name="Dodavka0">#REF!</definedName>
    <definedName name="HSV">[1]Rekapitulace!$E$36</definedName>
    <definedName name="HSV0">#REF!</definedName>
    <definedName name="HZS">[1]Rekapitulace!$I$36</definedName>
    <definedName name="HZS0">#REF!</definedName>
    <definedName name="Mont">[1]Rekapitulace!$H$36</definedName>
    <definedName name="Montaz0">#REF!</definedName>
    <definedName name="_xlnm.Print_Area" localSheetId="0">'1-Krycí list'!$A$1:$P$35</definedName>
    <definedName name="_xlnm.Print_Area" localSheetId="2">'1-Položky'!$A$1:$J$212</definedName>
    <definedName name="_xlnm.Print_Area" localSheetId="1">'1-Rekapitulace'!$A$1:$F$29</definedName>
    <definedName name="PSV0">#REF!</definedName>
    <definedName name="SazbaDPH1">'[2]Krycí list'!$C$30</definedName>
    <definedName name="SazbaDPH2">'[2]Krycí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Typ">#REF!</definedName>
    <definedName name="VRN">[1]Rekapitulace!$H$45</definedName>
    <definedName name="VRNKc">[2]Rekapitulace!#REF!</definedName>
    <definedName name="VRNnazev">[2]Rekapitulace!#REF!</definedName>
    <definedName name="VRNproc">[2]Rekapitulace!#REF!</definedName>
    <definedName name="VRNzakl">[2]Rekapitulace!#REF!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F167" i="3" l="1"/>
  <c r="F166" i="3"/>
  <c r="F165" i="3"/>
  <c r="D146" i="3" l="1"/>
  <c r="F105" i="3" l="1"/>
  <c r="J105" i="3" s="1"/>
  <c r="D193" i="3"/>
  <c r="F161" i="3"/>
  <c r="A183" i="3"/>
  <c r="F181" i="3"/>
  <c r="F180" i="3" s="1"/>
  <c r="J180" i="3" s="1"/>
  <c r="D51" i="3"/>
  <c r="D47" i="3"/>
  <c r="D49" i="3"/>
  <c r="F183" i="3" l="1"/>
  <c r="L180" i="3"/>
  <c r="D45" i="3"/>
  <c r="F94" i="3"/>
  <c r="D116" i="3"/>
  <c r="D100" i="3"/>
  <c r="D98" i="3"/>
  <c r="D96" i="3"/>
  <c r="F90" i="3"/>
  <c r="F93" i="3" l="1"/>
  <c r="F116" i="3" s="1"/>
  <c r="F115" i="3" s="1"/>
  <c r="L105" i="3"/>
  <c r="L115" i="3" l="1"/>
  <c r="J115" i="3"/>
  <c r="H93" i="3"/>
  <c r="J93" i="3"/>
  <c r="I93" i="3" l="1"/>
  <c r="C82" i="3" l="1"/>
  <c r="F127" i="3"/>
  <c r="J127" i="3" s="1"/>
  <c r="F125" i="3"/>
  <c r="L125" i="3" s="1"/>
  <c r="F164" i="3"/>
  <c r="F117" i="3"/>
  <c r="E29" i="2"/>
  <c r="L127" i="3" l="1"/>
  <c r="J125" i="3"/>
  <c r="F9" i="3" l="1"/>
  <c r="F11" i="3"/>
  <c r="D199" i="3"/>
  <c r="D15" i="3"/>
  <c r="D13" i="3"/>
  <c r="A10" i="3"/>
  <c r="A12" i="3" s="1"/>
  <c r="A14" i="3" s="1"/>
  <c r="A17" i="3" s="1"/>
  <c r="D7" i="3"/>
  <c r="F8" i="3" l="1"/>
  <c r="F13" i="3" s="1"/>
  <c r="F10" i="3"/>
  <c r="F15" i="3" s="1"/>
  <c r="F14" i="3" s="1"/>
  <c r="J8" i="3" l="1"/>
  <c r="L8" i="3"/>
  <c r="F199" i="3"/>
  <c r="L10" i="3"/>
  <c r="J10" i="3"/>
  <c r="F12" i="3"/>
  <c r="L14" i="3"/>
  <c r="J14" i="3"/>
  <c r="J12" i="3" l="1"/>
  <c r="J7" i="3" s="1"/>
  <c r="L12" i="3"/>
  <c r="L7" i="3" s="1"/>
  <c r="F5" i="1" l="1"/>
  <c r="E4" i="1" s="1"/>
  <c r="D86" i="3"/>
  <c r="F38" i="3"/>
  <c r="F37" i="3"/>
  <c r="F92" i="3"/>
  <c r="F91" i="3"/>
  <c r="F143" i="3"/>
  <c r="F151" i="3" s="1"/>
  <c r="F138" i="3"/>
  <c r="F149" i="3" s="1"/>
  <c r="D133" i="3"/>
  <c r="F135" i="3"/>
  <c r="F142" i="3" s="1"/>
  <c r="F141" i="3" s="1"/>
  <c r="F150" i="3" s="1"/>
  <c r="D151" i="3"/>
  <c r="D150" i="3"/>
  <c r="D149" i="3"/>
  <c r="D148" i="3"/>
  <c r="F132" i="3"/>
  <c r="J132" i="3" s="1"/>
  <c r="D137" i="3"/>
  <c r="F134" i="3" l="1"/>
  <c r="F137" i="3" s="1"/>
  <c r="F136" i="3" s="1"/>
  <c r="J136" i="3" s="1"/>
  <c r="J143" i="3"/>
  <c r="J134" i="3" l="1"/>
  <c r="F148" i="3"/>
  <c r="F147" i="3" s="1"/>
  <c r="J147" i="3" s="1"/>
  <c r="L147" i="3" l="1"/>
  <c r="F130" i="3" l="1"/>
  <c r="J130" i="3" l="1"/>
  <c r="F146" i="3"/>
  <c r="F54" i="3"/>
  <c r="D109" i="3" l="1"/>
  <c r="C79" i="3"/>
  <c r="D67" i="3"/>
  <c r="D79" i="3" s="1"/>
  <c r="D23" i="3"/>
  <c r="D197" i="3"/>
  <c r="D88" i="3"/>
  <c r="D87" i="3"/>
  <c r="F75" i="3"/>
  <c r="F88" i="3" s="1"/>
  <c r="F74" i="3"/>
  <c r="F87" i="3" s="1"/>
  <c r="C24" i="3"/>
  <c r="C80" i="3" s="1"/>
  <c r="D85" i="3"/>
  <c r="D26" i="3"/>
  <c r="D84" i="3"/>
  <c r="C81" i="3"/>
  <c r="D70" i="3"/>
  <c r="D82" i="3" s="1"/>
  <c r="D69" i="3"/>
  <c r="D81" i="3" s="1"/>
  <c r="D68" i="3"/>
  <c r="D80" i="3" s="1"/>
  <c r="F70" i="3"/>
  <c r="F25" i="3"/>
  <c r="F53" i="3"/>
  <c r="F31" i="3"/>
  <c r="F36" i="3"/>
  <c r="D25" i="3"/>
  <c r="D24" i="3"/>
  <c r="D22" i="3"/>
  <c r="D19" i="3" s="1"/>
  <c r="D21" i="3"/>
  <c r="C77" i="3"/>
  <c r="F21" i="3"/>
  <c r="C22" i="3"/>
  <c r="F22" i="3" s="1"/>
  <c r="F19" i="3" s="1"/>
  <c r="F66" i="3"/>
  <c r="D66" i="3"/>
  <c r="D65" i="3"/>
  <c r="D77" i="3" s="1"/>
  <c r="F159" i="3"/>
  <c r="L93" i="3" l="1"/>
  <c r="F145" i="3"/>
  <c r="F65" i="3"/>
  <c r="F71" i="3" s="1"/>
  <c r="F72" i="3" s="1"/>
  <c r="F35" i="3"/>
  <c r="F82" i="3"/>
  <c r="F26" i="3"/>
  <c r="F24" i="3"/>
  <c r="F68" i="3"/>
  <c r="F80" i="3" s="1"/>
  <c r="F69" i="3"/>
  <c r="C78" i="3"/>
  <c r="F78" i="3" s="1"/>
  <c r="F30" i="3"/>
  <c r="D78" i="3"/>
  <c r="D59" i="3"/>
  <c r="D18" i="3"/>
  <c r="F18" i="3"/>
  <c r="F17" i="3" s="1"/>
  <c r="J17" i="3" s="1"/>
  <c r="F56" i="3"/>
  <c r="F55" i="3" s="1"/>
  <c r="F84" i="3" l="1"/>
  <c r="J55" i="3"/>
  <c r="L55" i="3"/>
  <c r="F85" i="3"/>
  <c r="F73" i="3"/>
  <c r="F86" i="3" s="1"/>
  <c r="J141" i="3"/>
  <c r="J145" i="3"/>
  <c r="L145" i="3"/>
  <c r="F81" i="3"/>
  <c r="F23" i="3"/>
  <c r="F20" i="3" s="1"/>
  <c r="F67" i="3"/>
  <c r="F79" i="3" s="1"/>
  <c r="F77" i="3"/>
  <c r="F172" i="3"/>
  <c r="F76" i="3" l="1"/>
  <c r="F83" i="3"/>
  <c r="F197" i="3" s="1"/>
  <c r="F89" i="3"/>
  <c r="L89" i="3" s="1"/>
  <c r="J83" i="3"/>
  <c r="D201" i="3"/>
  <c r="J200" i="3"/>
  <c r="H200" i="3"/>
  <c r="D190" i="3"/>
  <c r="D191" i="3"/>
  <c r="D195" i="3"/>
  <c r="D189" i="3"/>
  <c r="D120" i="3"/>
  <c r="D61" i="3"/>
  <c r="D41" i="3"/>
  <c r="D110" i="3"/>
  <c r="D111" i="3"/>
  <c r="D108" i="3"/>
  <c r="F158" i="3"/>
  <c r="F157" i="3" s="1"/>
  <c r="F156" i="3" s="1"/>
  <c r="F155" i="3" s="1"/>
  <c r="F154" i="3" s="1"/>
  <c r="D157" i="3"/>
  <c r="D155" i="3"/>
  <c r="F182" i="3"/>
  <c r="H89" i="3" l="1"/>
  <c r="F96" i="3"/>
  <c r="F95" i="3" s="1"/>
  <c r="J89" i="3"/>
  <c r="F109" i="3"/>
  <c r="L83" i="3"/>
  <c r="I200" i="3"/>
  <c r="D43" i="3"/>
  <c r="D114" i="3"/>
  <c r="D58" i="3"/>
  <c r="D170" i="3"/>
  <c r="D177" i="3"/>
  <c r="I89" i="3" l="1"/>
  <c r="L95" i="3"/>
  <c r="F98" i="3"/>
  <c r="F97" i="3" s="1"/>
  <c r="F100" i="3" s="1"/>
  <c r="J95" i="3"/>
  <c r="F29" i="3"/>
  <c r="J29" i="3" s="1"/>
  <c r="F64" i="3"/>
  <c r="J64" i="3" s="1"/>
  <c r="F52" i="3"/>
  <c r="F28" i="3"/>
  <c r="F27" i="3" s="1"/>
  <c r="L182" i="3"/>
  <c r="J182" i="3"/>
  <c r="J97" i="3" l="1"/>
  <c r="F99" i="3"/>
  <c r="L97" i="3"/>
  <c r="F190" i="3"/>
  <c r="L29" i="3"/>
  <c r="L76" i="3"/>
  <c r="F108" i="3"/>
  <c r="J52" i="3"/>
  <c r="J76" i="3"/>
  <c r="L52" i="3"/>
  <c r="L64" i="3"/>
  <c r="L99" i="3" l="1"/>
  <c r="F63" i="3"/>
  <c r="F62" i="3" s="1"/>
  <c r="F191" i="3"/>
  <c r="F110" i="3"/>
  <c r="H99" i="3"/>
  <c r="J99" i="3"/>
  <c r="F58" i="3"/>
  <c r="J138" i="3"/>
  <c r="F171" i="3"/>
  <c r="L62" i="3" l="1"/>
  <c r="J62" i="3"/>
  <c r="I99" i="3"/>
  <c r="J117" i="3"/>
  <c r="F120" i="3"/>
  <c r="F119" i="3" s="1"/>
  <c r="L117" i="3"/>
  <c r="F177" i="3"/>
  <c r="F176" i="3" s="1"/>
  <c r="J171" i="3"/>
  <c r="F175" i="3"/>
  <c r="F174" i="3"/>
  <c r="F173" i="3" s="1"/>
  <c r="L171" i="3"/>
  <c r="J119" i="3" l="1"/>
  <c r="F121" i="3"/>
  <c r="L119" i="3"/>
  <c r="J175" i="3"/>
  <c r="L175" i="3"/>
  <c r="F178" i="3"/>
  <c r="L176" i="3"/>
  <c r="J176" i="3"/>
  <c r="L173" i="3"/>
  <c r="J173" i="3"/>
  <c r="F179" i="3" l="1"/>
  <c r="L178" i="3"/>
  <c r="J178" i="3"/>
  <c r="J185" i="3"/>
  <c r="D187" i="3"/>
  <c r="L179" i="3" l="1"/>
  <c r="L170" i="3" s="1"/>
  <c r="J179" i="3"/>
  <c r="J170" i="3" s="1"/>
  <c r="J27" i="3"/>
  <c r="L27" i="3"/>
  <c r="L185" i="3"/>
  <c r="A20" i="3"/>
  <c r="A27" i="3" s="1"/>
  <c r="D129" i="3"/>
  <c r="A29" i="3" l="1"/>
  <c r="A32" i="3" s="1"/>
  <c r="A40" i="3" s="1"/>
  <c r="F19" i="1"/>
  <c r="H20" i="3"/>
  <c r="J20" i="3"/>
  <c r="L20" i="3"/>
  <c r="A42" i="3" l="1"/>
  <c r="A44" i="3"/>
  <c r="H17" i="3"/>
  <c r="I20" i="3"/>
  <c r="L129" i="3"/>
  <c r="D39" i="3"/>
  <c r="A46" i="3" l="1"/>
  <c r="A48" i="3" s="1"/>
  <c r="A50" i="3" s="1"/>
  <c r="A52" i="3" s="1"/>
  <c r="I17" i="3"/>
  <c r="F2" i="1"/>
  <c r="A55" i="3" l="1"/>
  <c r="A57" i="3" s="1"/>
  <c r="A60" i="3" s="1"/>
  <c r="L200" i="3"/>
  <c r="G152" i="3"/>
  <c r="J152" i="3" s="1"/>
  <c r="J129" i="3" s="1"/>
  <c r="E13" i="1" s="1"/>
  <c r="A62" i="3" l="1"/>
  <c r="A64" i="3" s="1"/>
  <c r="A76" i="3" s="1"/>
  <c r="A83" i="3" l="1"/>
  <c r="A89" i="3" s="1"/>
  <c r="A93" i="3" s="1"/>
  <c r="A95" i="3" s="1"/>
  <c r="A97" i="3" s="1"/>
  <c r="A99" i="3" s="1"/>
  <c r="A101" i="3" s="1"/>
  <c r="A105" i="3" s="1"/>
  <c r="J156" i="3"/>
  <c r="D160" i="3"/>
  <c r="A107" i="3" l="1"/>
  <c r="A112" i="3" s="1"/>
  <c r="D153" i="3"/>
  <c r="L153" i="3"/>
  <c r="A115" i="3" l="1"/>
  <c r="A117" i="3" s="1"/>
  <c r="A119" i="3" s="1"/>
  <c r="A121" i="3" s="1"/>
  <c r="A123" i="3" s="1"/>
  <c r="A125" i="3" s="1"/>
  <c r="A127" i="3" s="1"/>
  <c r="L210" i="3"/>
  <c r="D184" i="3"/>
  <c r="D202" i="3"/>
  <c r="D210" i="3"/>
  <c r="D16" i="3"/>
  <c r="D4" i="3"/>
  <c r="D2" i="3"/>
  <c r="J25" i="2"/>
  <c r="A130" i="3" l="1"/>
  <c r="A132" i="3" s="1"/>
  <c r="A134" i="3" s="1"/>
  <c r="A136" i="3" s="1"/>
  <c r="L17" i="3"/>
  <c r="A138" i="3" l="1"/>
  <c r="A141" i="3" s="1"/>
  <c r="A143" i="3" s="1"/>
  <c r="J158" i="3"/>
  <c r="A145" i="3" l="1"/>
  <c r="A147" i="3" s="1"/>
  <c r="L184" i="3"/>
  <c r="J184" i="3"/>
  <c r="F20" i="1" l="1"/>
  <c r="L164" i="3" l="1"/>
  <c r="J164" i="3"/>
  <c r="J161" i="3"/>
  <c r="L161" i="3"/>
  <c r="L160" i="3" l="1"/>
  <c r="J160" i="3"/>
  <c r="F18" i="1" s="1"/>
  <c r="A152" i="3" l="1"/>
  <c r="A154" i="3" s="1"/>
  <c r="A156" i="3" s="1"/>
  <c r="A158" i="3" s="1"/>
  <c r="A161" i="3" s="1"/>
  <c r="A164" i="3" s="1"/>
  <c r="A171" i="3" l="1"/>
  <c r="A173" i="3" s="1"/>
  <c r="A175" i="3" s="1"/>
  <c r="A176" i="3" l="1"/>
  <c r="A178" i="3" s="1"/>
  <c r="A179" i="3" s="1"/>
  <c r="A180" i="3" s="1"/>
  <c r="A182" i="3" s="1"/>
  <c r="A185" i="3" l="1"/>
  <c r="A188" i="3" s="1"/>
  <c r="A192" i="3" l="1"/>
  <c r="A194" i="3" s="1"/>
  <c r="A196" i="3" l="1"/>
  <c r="A198" i="3" s="1"/>
  <c r="A200" i="3" s="1"/>
  <c r="A203" i="3" s="1"/>
  <c r="A204" i="3" s="1"/>
  <c r="A205" i="3" s="1"/>
  <c r="A206" i="3" s="1"/>
  <c r="A207" i="3" s="1"/>
  <c r="A208" i="3" s="1"/>
  <c r="A209" i="3" s="1"/>
  <c r="A211" i="3" s="1"/>
  <c r="P11" i="2" s="1"/>
  <c r="J154" i="3"/>
  <c r="J153" i="3" s="1"/>
  <c r="E15" i="1" s="1"/>
  <c r="F14" i="1" s="1"/>
  <c r="F12" i="1" l="1"/>
  <c r="E11" i="1" l="1"/>
  <c r="E21" i="2" s="1"/>
  <c r="J121" i="3" l="1"/>
  <c r="L121" i="3"/>
  <c r="F123" i="3" l="1"/>
  <c r="L123" i="3" s="1"/>
  <c r="J123" i="3" l="1"/>
  <c r="F101" i="3"/>
  <c r="L101" i="3" s="1"/>
  <c r="F111" i="3" l="1"/>
  <c r="F107" i="3" s="1"/>
  <c r="F114" i="3" s="1"/>
  <c r="F59" i="3"/>
  <c r="F57" i="3" s="1"/>
  <c r="J101" i="3"/>
  <c r="F189" i="3"/>
  <c r="F188" i="3" l="1"/>
  <c r="F196" i="3"/>
  <c r="F198" i="3" s="1"/>
  <c r="J107" i="3"/>
  <c r="L107" i="3"/>
  <c r="F61" i="3"/>
  <c r="F60" i="3" s="1"/>
  <c r="F112" i="3"/>
  <c r="J188" i="3"/>
  <c r="L57" i="3"/>
  <c r="J57" i="3"/>
  <c r="L188" i="3" l="1"/>
  <c r="F193" i="3"/>
  <c r="F192" i="3" s="1"/>
  <c r="J198" i="3"/>
  <c r="H198" i="3"/>
  <c r="L198" i="3"/>
  <c r="F195" i="3"/>
  <c r="F194" i="3" s="1"/>
  <c r="J194" i="3" s="1"/>
  <c r="L196" i="3"/>
  <c r="J196" i="3"/>
  <c r="L60" i="3"/>
  <c r="J60" i="3"/>
  <c r="L112" i="3"/>
  <c r="J112" i="3"/>
  <c r="F41" i="3"/>
  <c r="L192" i="3" l="1"/>
  <c r="J192" i="3"/>
  <c r="J187" i="3" s="1"/>
  <c r="F21" i="1" s="1"/>
  <c r="F47" i="3"/>
  <c r="F46" i="3" s="1"/>
  <c r="F49" i="3"/>
  <c r="F40" i="3"/>
  <c r="L40" i="3" s="1"/>
  <c r="I198" i="3"/>
  <c r="L194" i="3"/>
  <c r="L187" i="3" s="1"/>
  <c r="F43" i="3" l="1"/>
  <c r="F42" i="3" s="1"/>
  <c r="F45" i="3" s="1"/>
  <c r="F44" i="3" s="1"/>
  <c r="J44" i="3" s="1"/>
  <c r="J40" i="3"/>
  <c r="F48" i="3"/>
  <c r="F51" i="3"/>
  <c r="F50" i="3" s="1"/>
  <c r="L44" i="3"/>
  <c r="L46" i="3"/>
  <c r="J46" i="3"/>
  <c r="F204" i="3"/>
  <c r="J204" i="3" s="1"/>
  <c r="J42" i="3"/>
  <c r="L42" i="3" l="1"/>
  <c r="L48" i="3"/>
  <c r="J48" i="3"/>
  <c r="F205" i="3"/>
  <c r="J205" i="3" s="1"/>
  <c r="F206" i="3"/>
  <c r="J206" i="3" s="1"/>
  <c r="F203" i="3"/>
  <c r="J203" i="3" s="1"/>
  <c r="F207" i="3"/>
  <c r="F208" i="3" s="1"/>
  <c r="J208" i="3" s="1"/>
  <c r="L50" i="3"/>
  <c r="J50" i="3"/>
  <c r="L39" i="3" l="1"/>
  <c r="J39" i="3"/>
  <c r="F9" i="1" s="1"/>
  <c r="J207" i="3"/>
  <c r="F209" i="3"/>
  <c r="J209" i="3" s="1"/>
  <c r="J202" i="3" l="1"/>
  <c r="E23" i="1" s="1"/>
  <c r="E8" i="1"/>
  <c r="F32" i="3"/>
  <c r="J32" i="3" s="1"/>
  <c r="J16" i="3" s="1"/>
  <c r="L32" i="3" l="1"/>
  <c r="L16" i="3" s="1"/>
  <c r="F7" i="1"/>
  <c r="F211" i="3" l="1"/>
  <c r="J211" i="3" s="1"/>
  <c r="J210" i="3" s="1"/>
  <c r="E6" i="1"/>
  <c r="E24" i="1" l="1"/>
  <c r="F22" i="1" s="1"/>
  <c r="J213" i="3"/>
  <c r="H27" i="1" s="1"/>
  <c r="E17" i="1" l="1"/>
  <c r="F26" i="1"/>
  <c r="H26" i="1" l="1"/>
  <c r="J214" i="3" s="1"/>
  <c r="E19" i="2"/>
  <c r="E25" i="2" s="1"/>
  <c r="P21" i="2" l="1"/>
  <c r="P20" i="2"/>
  <c r="G26" i="1"/>
  <c r="P22" i="2"/>
  <c r="P19" i="2"/>
  <c r="P23" i="2"/>
  <c r="P25" i="2" l="1"/>
  <c r="P28" i="2" s="1"/>
  <c r="N30" i="2" s="1"/>
  <c r="P30" i="2" s="1"/>
  <c r="N29" i="2" l="1"/>
  <c r="P29" i="2" s="1"/>
  <c r="P31" i="2" s="1"/>
  <c r="N33" i="2" l="1"/>
  <c r="P33" i="2" s="1"/>
  <c r="P35" i="2" s="1"/>
</calcChain>
</file>

<file path=xl/sharedStrings.xml><?xml version="1.0" encoding="utf-8"?>
<sst xmlns="http://schemas.openxmlformats.org/spreadsheetml/2006/main" count="587" uniqueCount="315">
  <si>
    <t>Náklady / 1 m.j.</t>
  </si>
  <si>
    <t>Rozpočtové náklady v  Kč</t>
  </si>
  <si>
    <t>A</t>
  </si>
  <si>
    <t>Základní rozp. náklady</t>
  </si>
  <si>
    <t>B</t>
  </si>
  <si>
    <t>Doplňkové náklady</t>
  </si>
  <si>
    <t>C</t>
  </si>
  <si>
    <t>Náklady na umístění stavby</t>
  </si>
  <si>
    <t>HSV</t>
  </si>
  <si>
    <t>Dodávky</t>
  </si>
  <si>
    <t>Práce přesčas</t>
  </si>
  <si>
    <t>Zařízení staveniště</t>
  </si>
  <si>
    <t>Montáž</t>
  </si>
  <si>
    <t>Bez pevné podl.</t>
  </si>
  <si>
    <t>Mimostav. doprava</t>
  </si>
  <si>
    <t>PSV</t>
  </si>
  <si>
    <t>Kulturní památka</t>
  </si>
  <si>
    <t>Územní vlivy</t>
  </si>
  <si>
    <t>"M"</t>
  </si>
  <si>
    <t>NUS z rozpočtu</t>
  </si>
  <si>
    <t>ZRN ( ř. 1-6 )</t>
  </si>
  <si>
    <t>DN ( ř. 8-11 )</t>
  </si>
  <si>
    <t>NUS ( ř. 13-18 )</t>
  </si>
  <si>
    <t>HZS</t>
  </si>
  <si>
    <t>Kompl. činnost</t>
  </si>
  <si>
    <t>Ostatní náklady</t>
  </si>
  <si>
    <t>D</t>
  </si>
  <si>
    <t>Celkové náklady</t>
  </si>
  <si>
    <t>Součet 7, 12, 19-22</t>
  </si>
  <si>
    <t>Datum a podpis</t>
  </si>
  <si>
    <t>Razítko</t>
  </si>
  <si>
    <t>Objednávatel</t>
  </si>
  <si>
    <t>Cena s DPH (ř.23-25)</t>
  </si>
  <si>
    <t>E</t>
  </si>
  <si>
    <t>Klouzavá doložka</t>
  </si>
  <si>
    <t>Cena s DPH (ř.26-28)</t>
  </si>
  <si>
    <t>Název stavby:</t>
  </si>
  <si>
    <t>Doba výstavby:</t>
  </si>
  <si>
    <t>Druh stavby:</t>
  </si>
  <si>
    <t>Začátek výstavby:</t>
  </si>
  <si>
    <t>Jednot.</t>
  </si>
  <si>
    <t>Hmotnost (t)</t>
  </si>
  <si>
    <t>Objekt</t>
  </si>
  <si>
    <t>Kód</t>
  </si>
  <si>
    <t>Zkrácený popis</t>
  </si>
  <si>
    <t>M.j.</t>
  </si>
  <si>
    <t>Množství</t>
  </si>
  <si>
    <t>Celkem</t>
  </si>
  <si>
    <t>979011111R00</t>
  </si>
  <si>
    <t>Svislá doprava suti a vybour. hmot za 2.NP a 1.PP</t>
  </si>
  <si>
    <t>979081111R00</t>
  </si>
  <si>
    <t>Odvoz suti a vybour. hmot na skládku do 1 km</t>
  </si>
  <si>
    <t>979081121R00</t>
  </si>
  <si>
    <t>979082111R00</t>
  </si>
  <si>
    <t>Vnitrostaveništní doprava suti do 10 m</t>
  </si>
  <si>
    <t>979082121R00</t>
  </si>
  <si>
    <t>Příplatek k vnitrost. dopravě suti za dalších 5 m</t>
  </si>
  <si>
    <t>979087112R00</t>
  </si>
  <si>
    <t>Nakládání suti na dopravní prostředky</t>
  </si>
  <si>
    <t xml:space="preserve"> - dle výběrového řízení</t>
  </si>
  <si>
    <t>76 : konstrukce :</t>
  </si>
  <si>
    <t>783 : Nátěry</t>
  </si>
  <si>
    <t>78 : dokončovací práce :</t>
  </si>
  <si>
    <t>979 : Přesuny sutí</t>
  </si>
  <si>
    <t>998 : Přesun hmot</t>
  </si>
  <si>
    <t>999281111R00</t>
  </si>
  <si>
    <t>Přesun hmot pro opravy a údržbu do výšky 25 m</t>
  </si>
  <si>
    <t>součet  HSV  odd. 1-6; odd. 8-9 mimo odd. 96-98</t>
  </si>
  <si>
    <t>7 : Konstrukce a práce PSV</t>
  </si>
  <si>
    <t>9 : Ostatní konstrukce a práce, bourání</t>
  </si>
  <si>
    <t>99 : přesun hmot</t>
  </si>
  <si>
    <t>95 : různé dokončovací konstrukce a práce pozemních staveb</t>
  </si>
  <si>
    <t>Mezisoučet</t>
  </si>
  <si>
    <t>DPH</t>
  </si>
  <si>
    <t>t</t>
  </si>
  <si>
    <t>m3</t>
  </si>
  <si>
    <t>m2</t>
  </si>
  <si>
    <t>m</t>
  </si>
  <si>
    <t>KRYCÍ LIST ROZPOČTU</t>
  </si>
  <si>
    <t>Název stavby</t>
  </si>
  <si>
    <t>JKSO</t>
  </si>
  <si>
    <t/>
  </si>
  <si>
    <t>Název objektu</t>
  </si>
  <si>
    <t>EČO</t>
  </si>
  <si>
    <t>Název části</t>
  </si>
  <si>
    <t>Místo</t>
  </si>
  <si>
    <t>IČO</t>
  </si>
  <si>
    <t>DRČ</t>
  </si>
  <si>
    <t xml:space="preserve"> </t>
  </si>
  <si>
    <t>Objednatel</t>
  </si>
  <si>
    <t>Projektant</t>
  </si>
  <si>
    <t>Zhotovitel</t>
  </si>
  <si>
    <t>Rozpočet číslo</t>
  </si>
  <si>
    <t>Zpracoval</t>
  </si>
  <si>
    <t>Dne</t>
  </si>
  <si>
    <t>Položek</t>
  </si>
  <si>
    <t>Blažek Vladimír</t>
  </si>
  <si>
    <t>Měrné a účelové jednotky</t>
  </si>
  <si>
    <t>Počet</t>
  </si>
  <si>
    <t>Rekapitulace</t>
  </si>
  <si>
    <t>kus</t>
  </si>
  <si>
    <t>%</t>
  </si>
  <si>
    <t>viz pol.:</t>
  </si>
  <si>
    <t>3 : Svislé a kompletní konstrukce</t>
  </si>
  <si>
    <t>31 : zdi podpěrné a volné</t>
  </si>
  <si>
    <t>hod</t>
  </si>
  <si>
    <t>ROZPOČET</t>
  </si>
  <si>
    <t>Památková přirážka</t>
  </si>
  <si>
    <t>902      R00</t>
  </si>
  <si>
    <t>901      R00</t>
  </si>
  <si>
    <t>Hzs-předběžná obhlídka     čl.17-1a</t>
  </si>
  <si>
    <t>90 : hodinové zúčtovací sazby (HZS)</t>
  </si>
  <si>
    <t>Jednot.cena (Kč)</t>
  </si>
  <si>
    <t>Č.p.</t>
  </si>
  <si>
    <t>Stavební část</t>
  </si>
  <si>
    <t>6 : Úpravy povrchů, podlahy a osazovaní výplní</t>
  </si>
  <si>
    <t>62 : úprava povrchů vnější</t>
  </si>
  <si>
    <t>97 : prorážení otvorů a ostatní bourací práce</t>
  </si>
  <si>
    <t>REZERVA</t>
  </si>
  <si>
    <t>978015291R00</t>
  </si>
  <si>
    <t>Otlučení omítek vnějších MVC v složit.1-4 do 100 %</t>
  </si>
  <si>
    <t>978023251R00</t>
  </si>
  <si>
    <t xml:space="preserve">Vysekání a úprava spár zdiva </t>
  </si>
  <si>
    <t>941941051R00</t>
  </si>
  <si>
    <t>Montáž lešení leh.řad.s podlahami,š.1,5 m, H 10 m</t>
  </si>
  <si>
    <t>941941391R00</t>
  </si>
  <si>
    <t>Příplatek za každý měsíc použití lešení k pol.1051</t>
  </si>
  <si>
    <t>měsíce</t>
  </si>
  <si>
    <t>941941851R00</t>
  </si>
  <si>
    <t>Demontáž lešení leh.řad.s podlahami,š.1,5 m,H 10 m</t>
  </si>
  <si>
    <t>944944011R00</t>
  </si>
  <si>
    <t>Montáž ochranné sítě z umělých vláken</t>
  </si>
  <si>
    <t>944944031R00</t>
  </si>
  <si>
    <t>Příplatek za každý měsíc použití sítí k pol. 4011</t>
  </si>
  <si>
    <t>944944081R00</t>
  </si>
  <si>
    <t>Demontáž ochranné sítě z umělých vláken</t>
  </si>
  <si>
    <t>944943101R00</t>
  </si>
  <si>
    <t xml:space="preserve">Záchytné lešení na nosné konstrukci se zábradlím </t>
  </si>
  <si>
    <t>94 : lešení, systémové bednění a stavební výtahy</t>
  </si>
  <si>
    <t>622401971RZ1</t>
  </si>
  <si>
    <t>622901199R00</t>
  </si>
  <si>
    <t>620431129R00</t>
  </si>
  <si>
    <t>622428971R00</t>
  </si>
  <si>
    <t>Příplatek k položce za vícebarevný nátěr omítky</t>
  </si>
  <si>
    <t>Očištění stlačeným vzduchem zdiva a rubu kleneb</t>
  </si>
  <si>
    <t xml:space="preserve">Příplatek za ruční dočištění </t>
  </si>
  <si>
    <t>Příplatek k odvozu za každý další 1 km</t>
  </si>
  <si>
    <t>317235811R00</t>
  </si>
  <si>
    <t>317235819R00</t>
  </si>
  <si>
    <t>317471119R00</t>
  </si>
  <si>
    <t>Doplnění zdiva hlavních a kordonových říms cihlami pálenými</t>
  </si>
  <si>
    <t>317235817R00</t>
  </si>
  <si>
    <t>Příplatek za dodávku ostře pálený cihel z počátku 20.století vč.dopravy</t>
  </si>
  <si>
    <t>340291122VD</t>
  </si>
  <si>
    <t>783904811R00</t>
  </si>
  <si>
    <t>Odrezivění kovových konstrukcí</t>
  </si>
  <si>
    <t>622425931RT2</t>
  </si>
  <si>
    <t>Příplatek za zvýšení přilnavosti s max. podílem disperze  do  3%</t>
  </si>
  <si>
    <t>622421144R00</t>
  </si>
  <si>
    <t>783222119RT1</t>
  </si>
  <si>
    <t>Nátěr kovových konstrukcí 1 x antikorozní, 1 x základní, 2 x email</t>
  </si>
  <si>
    <t>- zpracování dílenské dokumentace všech detailů a prvku pro odsouhlasení PU</t>
  </si>
  <si>
    <t>Hzs-práce na památkách</t>
  </si>
  <si>
    <t>953981109R00</t>
  </si>
  <si>
    <t>Chemické kotvy do betonu, M 16, ampule , komplet</t>
  </si>
  <si>
    <t>620991129R00</t>
  </si>
  <si>
    <t>Zakrývání výplní vnějších otvorů z lešení silnější folií</t>
  </si>
  <si>
    <t>976082131R00</t>
  </si>
  <si>
    <t>Vybourání objímek,držáků apod.ze zdiva cihelného</t>
  </si>
  <si>
    <t>00279072</t>
  </si>
  <si>
    <t>fasáda průčelí domů č.p. 274 směrem do náměstí</t>
  </si>
  <si>
    <t>3</t>
  </si>
  <si>
    <t>Nátěr stěn vnějších, s max. podílem disperze  do  3%</t>
  </si>
  <si>
    <t>622471320RU5</t>
  </si>
  <si>
    <t>Rekonstrukce původní barevnosti restaurátorskými postupy ploch fasády Měšťanský dům č.p. 274 a 275 směrem do náměstí od úrovně horní hrany podloubí k hlavní římse</t>
  </si>
  <si>
    <t xml:space="preserve">Plochy kamenných sloupů podloubí vč.vnitřních povrchů podloubí Měšťanský dům č.p. 274
</t>
  </si>
  <si>
    <t>korunní římsa fasády Měšťanský dům č.p. 274 směrem do náměstí</t>
  </si>
  <si>
    <t>622401934R00</t>
  </si>
  <si>
    <t>spodní římsa fasády Měšťanský dům č.p. 274 směrem do náměstí</t>
  </si>
  <si>
    <t>Příplatek za pracnost, celková pl.otvorů a aktivných ploch nad 65%</t>
  </si>
  <si>
    <t>okna fasády Měšťanský dům č.p. 274 směrem do náměstí od úrovně horní hrany podloubí k hl.korunní římse</t>
  </si>
  <si>
    <t>622429909R00</t>
  </si>
  <si>
    <t>978099251R00</t>
  </si>
  <si>
    <t>Odstranění nátěrů z kovových konstrukcí oškrábáním,opálením,obroušením</t>
  </si>
  <si>
    <t>783201819R00</t>
  </si>
  <si>
    <t>Kovové vl.závěsy  antikorozně  ošetřeny</t>
  </si>
  <si>
    <t>Oprava restaurátorskými postupy - aktivní prvky (prefabrikáty)</t>
  </si>
  <si>
    <t>Omítka jemná říms,šambrán z aktiv.malty s vápen.hydraul.pojivem</t>
  </si>
  <si>
    <t>Nový tažený profil říms, šambrán z aktiv.malty s vápen.hydraul.pojivem</t>
  </si>
  <si>
    <t>Spárování říms, šambrán směsí s vápen.hydraul.pojivem</t>
  </si>
  <si>
    <t>Dodatečné ukotvení cihelné římsy plochými nerez.kotvami</t>
  </si>
  <si>
    <t>Pozn.: nejlépe  ostře  pálenými  plnými  cihlami  z  počátku  20.  století  z nějaké bouračky</t>
  </si>
  <si>
    <t>nadokenní římsa spodních oken fasády Měšťanský dům č.p. 274 směrem do náměstí</t>
  </si>
  <si>
    <t>šambrána spodních oken fasády Měšťanský dům č.p. 274 směrem do náměstí</t>
  </si>
  <si>
    <t>šambrána horních oken fasády Měšťanský dům č.p. 274 směrem do náměstí</t>
  </si>
  <si>
    <t>nadokenní římsa horních oken fasády Měšťanský dům č.p. 274 směrem do náměstí</t>
  </si>
  <si>
    <t>Omítka stěn,štuková,vápenná s vápen.hydraul.pojivem na pasiv.plochách</t>
  </si>
  <si>
    <r>
      <t>Odkryv na nejstarší dochovanou malířskou vrstvu aktivní prvky</t>
    </r>
    <r>
      <rPr>
        <sz val="8"/>
        <rFont val="Arial Narrow"/>
        <family val="2"/>
        <charset val="238"/>
      </rPr>
      <t>(prefabrikáty)</t>
    </r>
  </si>
  <si>
    <t>764 : Konstrukce klempířské</t>
  </si>
  <si>
    <t>Očištění nízkotlakovou vodou stěn zdiva a rubu kleneb,říms,šambrán</t>
  </si>
  <si>
    <t>998764203R00</t>
  </si>
  <si>
    <t>Přesun hmot pro klempířské konstr., výšky do 24 m</t>
  </si>
  <si>
    <t>špaleta,nadpraží horních oken fasády Měšťanský dům č.p. 274 směrem do náměstí</t>
  </si>
  <si>
    <t>špaleta,nadpraží spodních oken fasády Měšťanský dům č.p. 274 směrem do náměstí</t>
  </si>
  <si>
    <t>Spára mezi omítkou a výplní otvorů (oknem)</t>
  </si>
  <si>
    <t xml:space="preserve">Omítka ostění,nadpraží, štuková, vápenná s vápen.hydraul.pojivem </t>
  </si>
  <si>
    <t>764554203R00</t>
  </si>
  <si>
    <t>Odpadní trouby z Cu plechu, kruhové, D 120 mm</t>
  </si>
  <si>
    <t>764454802R00</t>
  </si>
  <si>
    <t>Demontáž odpadních trub kruhových,D 120 mm</t>
  </si>
  <si>
    <t>764259211R00</t>
  </si>
  <si>
    <t>Kotlík kónický z Cu plechu pro trouby, D do 150 mm</t>
  </si>
  <si>
    <t>764294220R00</t>
  </si>
  <si>
    <t>Podkladní pás z Cu plechu, rš 200 mm</t>
  </si>
  <si>
    <t>764521240RT2</t>
  </si>
  <si>
    <t>Oplechování říms z Cu plechu, rš 250 mm</t>
  </si>
  <si>
    <t>764430840RT2</t>
  </si>
  <si>
    <t>Demontáž oplechování okapů,říms,parapetů</t>
  </si>
  <si>
    <t>Oplechování parapetů včetně rohů z Cu, rš 350 mm</t>
  </si>
  <si>
    <t>Oplechování říms z Cu plechu, rš 350 mm</t>
  </si>
  <si>
    <t>764510255R00</t>
  </si>
  <si>
    <t>ks</t>
  </si>
  <si>
    <t>poz.č.:274/KL-1  korunní římsa fasády Měšťanský dům č.p. 274 směrem do náměstí</t>
  </si>
  <si>
    <t>764222210R00</t>
  </si>
  <si>
    <t>Oplechování okapů Cu, rš do 125mm krycí lišta mřížky.</t>
  </si>
  <si>
    <t>poz.č.:274/KL-6   Měšťanský dům č.p. 274 směrem do náměstí</t>
  </si>
  <si>
    <t>poz.č.:274/KL-2   Měšťanský dům č.p. 274 směrem do náměstí</t>
  </si>
  <si>
    <t>poz.č.:274/KL-4   Měšťanský dům č.p. 274 směrem do náměstí</t>
  </si>
  <si>
    <t>poz.č.:274/KL-5   Měšťanský dům č.p. 274 směrem do náměstí</t>
  </si>
  <si>
    <t>764521251RT2</t>
  </si>
  <si>
    <t>poz.č.:274/KL-3   Měšťanský dům č.p. 274 směrem do náměstí</t>
  </si>
  <si>
    <t>viz PD.: podkl.č.2</t>
  </si>
  <si>
    <t>kordonová římsa fasády Měšťanský dům č.p. 274 směrem do náměstí</t>
  </si>
  <si>
    <t>viz PD.: podkl.č.3</t>
  </si>
  <si>
    <t xml:space="preserve">horní rám výzdoby nad hor.okny 2.patro-fasáda Měšťan.dům č.p. 274 směrem do náměstí </t>
  </si>
  <si>
    <t>dolní rám výzdoby  pod hor.okny-fasáda Měšťan.dům č.p. 274 směrem do náměstí</t>
  </si>
  <si>
    <t xml:space="preserve">plastická výzdoba pod hor.okny 2.patro-fasáda Měšťan.dům č.p. 274 směrem do náměstí </t>
  </si>
  <si>
    <t>plastická výzdoba nadokenní prvek (prefabrikát) nad dol.okny-fasáda Měšťan.dům č.p. 274 směrem do náměstí</t>
  </si>
  <si>
    <t>plastická výzdoba podokenní prvek (parapetní prefabrikát) pod dol.okny-fasáda Měšťan.dům č.p. 274 směrem do náměstí</t>
  </si>
  <si>
    <t>28 : zpevňování hornin a konstrukcí</t>
  </si>
  <si>
    <t>2 : Zvláštní zakládání, základy,zpevňování</t>
  </si>
  <si>
    <t>bm</t>
  </si>
  <si>
    <t>285379191R00</t>
  </si>
  <si>
    <t>285379199R00</t>
  </si>
  <si>
    <t>285379195R00</t>
  </si>
  <si>
    <t>Oprava trhlin vyplněním systémovou maltou do drážek</t>
  </si>
  <si>
    <t>285379196R00</t>
  </si>
  <si>
    <t>974031154R00</t>
  </si>
  <si>
    <t>Injektáž vrtů systémovou maltou</t>
  </si>
  <si>
    <t>zajištění konce výztuže oboustranně vkládanou do vrtů cca 500mm  - fasáda Měšťanský dům č.p. 274 směrem do náměstí</t>
  </si>
  <si>
    <t>-  restaurátorský průzkum</t>
  </si>
  <si>
    <t>- doplňkový restaurátorský průzkum</t>
  </si>
  <si>
    <t xml:space="preserve">- prověření pevnosti ukotvení a stability všech prvků fasády po postavení lešení </t>
  </si>
  <si>
    <t>Vysekání rýh ve zdi cihelné - drážka 10/45mm</t>
  </si>
  <si>
    <r>
      <rPr>
        <b/>
        <sz val="7"/>
        <rFont val="Arial Narrow"/>
        <family val="2"/>
        <charset val="238"/>
      </rPr>
      <t xml:space="preserve">UPOZORNĚNÍ: </t>
    </r>
    <r>
      <rPr>
        <sz val="7"/>
        <rFont val="Arial Narrow"/>
        <family val="2"/>
        <charset val="238"/>
      </rPr>
      <t xml:space="preserve">
Veškeré výměry je nutné před zahájením prací upřesnit dle skutečnosti.
Při realizaci je nutno vycházet z restaurátorských průzkumů a doplňkového restaurátorského průzkumu.
Jedná se zde o památkově chráněný objekt. Pro přípravu a realizaci je závazné rozhodnutí dotčeného orgánu památkové péče.
Základní koncepce obnovy fasád č.p.274,275:
Při restaurování/ renovaci fasády se doporučuje minimalizovat zásahy do historických omítek i barevných vrstev. Z důvodu bezpečnosti je třeba provést opravu korunní římsy č.p.274.
Vzhledem k přítomnosti historických omítek a barevných vrstev na fasádách obou domů se předpokládá provádět renovaci fasád v součinnosti se zástupcem NPÚ ÚOP pro daný kraj a s restaurátorem (odborný dohled).
</t>
    </r>
  </si>
  <si>
    <r>
      <rPr>
        <b/>
        <sz val="7"/>
        <rFont val="Arial Narrow"/>
        <family val="2"/>
        <charset val="238"/>
      </rPr>
      <t>POZN:</t>
    </r>
    <r>
      <rPr>
        <sz val="7"/>
        <rFont val="Arial Narrow"/>
        <family val="2"/>
        <charset val="238"/>
      </rPr>
      <t xml:space="preserve">
Před instalací dodatečně vlepené nerezové výztuže, se provede hloubkové vyplnění trhlin ve zdivu  aktivní maltou na bázi polymeru. Před instalací výplně se povrch důkladně provlhčí. Provede se dozdívka porušených míst kusovým stavivem s provázáním spar.   Lokální nezpevněné části zdiva se napustí zpevňující penetrací.
</t>
    </r>
    <r>
      <rPr>
        <b/>
        <sz val="7"/>
        <rFont val="Arial Narrow"/>
        <family val="2"/>
        <charset val="238"/>
      </rPr>
      <t>Drážky</t>
    </r>
    <r>
      <rPr>
        <sz val="7"/>
        <rFont val="Arial Narrow"/>
        <family val="2"/>
        <charset val="238"/>
      </rPr>
      <t xml:space="preserve">
Vyřežou se drážky do horizontálních ložných spár zdiva minimálně požadované hloubky min. 35mm a min šířky 10mm. Drážky se vyčistí profouknutím pumpou a důkladně navlhčí vodou. Pomocí aplikační pistole naneseme dozadu do drážky 10mm vrstvu zálivky HB Resin - HB 8mm výztuž se vtlačí do zálivky pomocí špachtle tak, aby byl dobře obalen zálivkou. Nanese se další vrstva HB Resin na HB výztuž tak, že skončíme 10 -15mm od povrchu výztuže a vyhladíme spárovací špachtlí
Ložná spára se upraví a znovu začisti dle projektu
</t>
    </r>
    <r>
      <rPr>
        <b/>
        <sz val="7"/>
        <rFont val="Arial Narrow"/>
        <family val="2"/>
        <charset val="238"/>
      </rPr>
      <t>Vrty</t>
    </r>
    <r>
      <rPr>
        <sz val="7"/>
        <rFont val="Arial Narrow"/>
        <family val="2"/>
        <charset val="238"/>
      </rPr>
      <t xml:space="preserve"> (např pro ukotvení na konci prutu nebo ukotvení prvku – konzolky římsy)
Provedeme vrt do konstrukce zdiva vrtačkou v daném průřezu 16 – 26mm (v závislosti na hloubce vrtu) a délce dle PD. Vrt se vyfouká, zbaví hrubších nečistot a prachových částí. Před vlepením se navlhčí, vypláchne čistou vodou. Vrt vyinjektujeme tmelem HB Resin a HB 8 mm výztuž vtlačit do celé hloubky vrtu.
Po vlepení výztuže do předem vyfrézovaných drážek se provede začištění omítky vápenným štukem a po vytvrzení se provede výmalba 
</t>
    </r>
  </si>
  <si>
    <t>0243006112017</t>
  </si>
  <si>
    <r>
      <t xml:space="preserve">622 </t>
    </r>
    <r>
      <rPr>
        <sz val="4.5"/>
        <rFont val="Arial Narrow"/>
        <family val="2"/>
        <charset val="238"/>
      </rPr>
      <t>- RESTAURATOR</t>
    </r>
  </si>
  <si>
    <t xml:space="preserve">Restaurátor-Vytvoření kopie (domodelování, forma a odlití / vydusání) </t>
  </si>
  <si>
    <t>odlitek prvku fasády Měšťanský dům č.p. 274 směrem do náměstí</t>
  </si>
  <si>
    <t>Restaurátor-Restaurování prefabrikátů (odlitek pod okny I. NP)</t>
  </si>
  <si>
    <t xml:space="preserve">Restaurátor-Osazení a ukotvení kopie </t>
  </si>
  <si>
    <t>Restaurátor-Restaurování prefabrikátů (konzoly - okna)</t>
  </si>
  <si>
    <t>- restaurátorský dozor</t>
  </si>
  <si>
    <t>- restaurátorská dokumentace</t>
  </si>
  <si>
    <r>
      <t>Zkouška odkryvu pro rekonstrukci barevnosti</t>
    </r>
    <r>
      <rPr>
        <sz val="7"/>
        <rFont val="Arial Narrow"/>
        <family val="2"/>
        <charset val="238"/>
      </rPr>
      <t xml:space="preserve"> (1m x 1m na pasivních plochách) </t>
    </r>
  </si>
  <si>
    <r>
      <t>Zkouška odkryvu na původní barevnost prefabrikátů</t>
    </r>
    <r>
      <rPr>
        <sz val="7"/>
        <rFont val="Arial Narrow"/>
        <family val="2"/>
        <charset val="238"/>
      </rPr>
      <t xml:space="preserve"> </t>
    </r>
    <r>
      <rPr>
        <sz val="6"/>
        <rFont val="Arial Narrow"/>
        <family val="2"/>
        <charset val="238"/>
      </rPr>
      <t>(zelená), odkryv vlysu pod okny</t>
    </r>
  </si>
  <si>
    <t xml:space="preserve">Opracování oblin,hran,… ve styku fasádních prvků </t>
  </si>
  <si>
    <t>Oprava trhlin helikální nerezovou výztuží HB 8mm do drážek 10/45mm</t>
  </si>
  <si>
    <t>Oprava trhlin vkládanou helikální výztuží HB 8mm do vrtů, vč.vyvrtání</t>
  </si>
  <si>
    <t>horizontální výztuž HB 8mm v drážkách 10/45mm, délky: 3*1m+5*3m+2*4m+1*9m+5*3m+2*4m - fasáda Měšťanský dům č.p. 274</t>
  </si>
  <si>
    <t>ploch fasády Měšťanský dům č.p. 274 směrem do náměstí</t>
  </si>
  <si>
    <t>Vnější uzávěra kontaktní připojovací spáry oken po obvodě bude systémem paropropustnosti a vodotěsnosti systém např illbruck</t>
  </si>
  <si>
    <t>622311959R00</t>
  </si>
  <si>
    <t>Zateplení ostění spádový klín, zakonč.stěrkou s výzt.tkaninou</t>
  </si>
  <si>
    <t>622421493R00</t>
  </si>
  <si>
    <t>622421491R00</t>
  </si>
  <si>
    <t>Doplňky zatepl. systémů, okenní rohová lišta s tkaninou</t>
  </si>
  <si>
    <t>622421494R00</t>
  </si>
  <si>
    <t>Doplňky zatepl. systémů, podparapetní lišta s tkan</t>
  </si>
  <si>
    <t>629451111RT9</t>
  </si>
  <si>
    <t>Vyrovnávací vrstva MC šířky do 15 cm</t>
  </si>
  <si>
    <t>620984112R00</t>
  </si>
  <si>
    <t>620984212R00</t>
  </si>
  <si>
    <t>620984215R00</t>
  </si>
  <si>
    <t>620984219R00</t>
  </si>
  <si>
    <t>Očištění vnějších ploch čističi na bázi tenzidů (50% plochy)</t>
  </si>
  <si>
    <t>Očištění vnějších ploch pastózní směsí (30% plochy)</t>
  </si>
  <si>
    <t>620984391R00</t>
  </si>
  <si>
    <t>620990990R00</t>
  </si>
  <si>
    <t xml:space="preserve">Zpevnění podkladů po očištění </t>
  </si>
  <si>
    <t>620991199R00</t>
  </si>
  <si>
    <t>Zakrývání výplní vnějších povrchů plachtami</t>
  </si>
  <si>
    <t xml:space="preserve">Plochy kamenných dlažeb , prvků, průchodů, apod. , ...
</t>
  </si>
  <si>
    <t>622401989RZ1</t>
  </si>
  <si>
    <t>Příplatek za bude hydrofobizaci omítek ostění</t>
  </si>
  <si>
    <t>Pás omítky výšky 100mm nad parapety bude hydrofobizovaný (jiné složení om.)</t>
  </si>
  <si>
    <t>Provozní vlivy (byty)</t>
  </si>
  <si>
    <t>vstupy  a vjezd fasáda průčelí domů č.p. 274</t>
  </si>
  <si>
    <t>944949901R00</t>
  </si>
  <si>
    <t xml:space="preserve">Ochrana průchodu do podloubí vybedněním tesařskou konstrukcí </t>
  </si>
  <si>
    <t xml:space="preserve">  Demontáž a montáž hromosvodu vč.revize</t>
  </si>
  <si>
    <t>978015299R00</t>
  </si>
  <si>
    <t xml:space="preserve">Příplatek k otloukání omítek opatrné oddělení od podkladu (frézování) </t>
  </si>
  <si>
    <t xml:space="preserve">Kovové  konstrukce  před okopáním omítek demontavána a přeipevněna na novou omítku 2ks á 2kotvy </t>
  </si>
  <si>
    <t>plocha fasády Měšťan.dům č.p. 274 směrem do náměstí 2patro</t>
  </si>
  <si>
    <t>plocha fasády Měšťan.dům č.p. 274 směrem do náměstí 1patro</t>
  </si>
  <si>
    <t>plocha fasády Měšťan.dům č.p. 274 směrem do náměstí přízemí</t>
  </si>
  <si>
    <t xml:space="preserve">Nátěr stěn vnějších - Zhotovení vzorků </t>
  </si>
  <si>
    <t>Zhotovení 2vzorků 5m2 pro posouzení restaurátorem v rámci dozoru restaurátora</t>
  </si>
  <si>
    <t>979990101R00</t>
  </si>
  <si>
    <t xml:space="preserve">Poplatek za skladku </t>
  </si>
  <si>
    <t>Měšťanský dům č.p. 274, rejst. č. ÚSKP ČR 35632/6-3949</t>
  </si>
  <si>
    <t>Obnova fasády domu č.p. 274 směrem do náměstí, Králíky</t>
  </si>
  <si>
    <t>Město Králíky, Velké náměstí 5, 561 69 Králíky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</si>
</sst>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0.00\ &quot;Kč&quot;_-;\-* #,##0.00\ &quot;Kč&quot;_-;_-* &quot;-&quot;??\ &quot;Kč&quot;_-;_-@_-"/>
    <numFmt numFmtId="164" formatCode="_-* #,##0\ _K_č_-;\-* #,##0\ _K_č_-;_-* &quot;-&quot;\ _K_č_-;_-@_-"/>
    <numFmt numFmtId="165" formatCode="_-* #,##0.00\ _K_č_-;\-* #,##0.00\ _K_č_-;_-* &quot;-&quot;??\ _K_č_-;_-@_-"/>
    <numFmt numFmtId="166" formatCode="0.0%"/>
    <numFmt numFmtId="167" formatCode="_-* #,##0\ &quot;Kč&quot;_-;\-* #,##0\ &quot;Kč&quot;_-;_-* &quot;-&quot;??\ &quot;Kč&quot;_-;_-@_-"/>
    <numFmt numFmtId="168" formatCode="0.0000"/>
    <numFmt numFmtId="169" formatCode="0.000"/>
    <numFmt numFmtId="170" formatCode="* _-#,##0.00\ &quot;Kč&quot;;* \-#,##0.00\ &quot;Kč&quot;;* _-&quot;-&quot;??\ &quot;Kč&quot;;@"/>
    <numFmt numFmtId="171" formatCode="#"/>
    <numFmt numFmtId="172" formatCode="#,##0.000"/>
    <numFmt numFmtId="173" formatCode="#,##0.0"/>
    <numFmt numFmtId="174" formatCode="* _-#,##0\ &quot;Kč&quot;;* \-#,##0\ &quot;Kč&quot;;* _-&quot;-&quot;??\ &quot;Kč&quot;;@"/>
    <numFmt numFmtId="175" formatCode="#,##0.00000"/>
    <numFmt numFmtId="176" formatCode="#,##0.0000"/>
    <numFmt numFmtId="177" formatCode="000\ 00"/>
  </numFmts>
  <fonts count="79" x14ac:knownFonts="1">
    <font>
      <sz val="10"/>
      <name val="Arial"/>
      <family val="2"/>
      <charset val="238"/>
    </font>
    <font>
      <sz val="10"/>
      <name val="Arial CE"/>
      <charset val="238"/>
    </font>
    <font>
      <b/>
      <sz val="10"/>
      <name val="Arial"/>
      <family val="2"/>
      <charset val="238"/>
    </font>
    <font>
      <sz val="8"/>
      <name val="Arial"/>
      <family val="2"/>
      <charset val="238"/>
    </font>
    <font>
      <sz val="10"/>
      <name val="Arial"/>
      <family val="2"/>
      <charset val="238"/>
    </font>
    <font>
      <b/>
      <sz val="9"/>
      <name val="Arial"/>
      <family val="2"/>
      <charset val="238"/>
    </font>
    <font>
      <b/>
      <sz val="8"/>
      <name val="Arial"/>
      <family val="2"/>
      <charset val="238"/>
    </font>
    <font>
      <sz val="9"/>
      <name val="Arial"/>
      <family val="2"/>
      <charset val="238"/>
    </font>
    <font>
      <sz val="10"/>
      <name val="Arial"/>
      <family val="2"/>
      <charset val="238"/>
    </font>
    <font>
      <sz val="9"/>
      <name val="Arial"/>
      <family val="2"/>
      <charset val="238"/>
    </font>
    <font>
      <u/>
      <sz val="10"/>
      <color indexed="12"/>
      <name val="Arial CE"/>
      <charset val="238"/>
    </font>
    <font>
      <b/>
      <sz val="10"/>
      <name val="Arial"/>
      <family val="2"/>
      <charset val="238"/>
    </font>
    <font>
      <sz val="8"/>
      <name val="Arial"/>
      <family val="2"/>
      <charset val="238"/>
    </font>
    <font>
      <b/>
      <sz val="20"/>
      <name val="Arial"/>
      <family val="2"/>
      <charset val="238"/>
    </font>
    <font>
      <b/>
      <sz val="20"/>
      <color indexed="18"/>
      <name val="Arial"/>
      <family val="2"/>
      <charset val="238"/>
    </font>
    <font>
      <sz val="7"/>
      <name val="Arial"/>
      <family val="2"/>
      <charset val="238"/>
    </font>
    <font>
      <sz val="22"/>
      <name val="Arial"/>
      <family val="2"/>
      <charset val="238"/>
    </font>
    <font>
      <b/>
      <sz val="12"/>
      <name val="Arial"/>
      <family val="2"/>
      <charset val="238"/>
    </font>
    <font>
      <b/>
      <sz val="10"/>
      <color indexed="18"/>
      <name val="Arial"/>
      <family val="2"/>
      <charset val="238"/>
    </font>
    <font>
      <b/>
      <sz val="7"/>
      <name val="Arial"/>
      <family val="2"/>
      <charset val="238"/>
    </font>
    <font>
      <b/>
      <sz val="8"/>
      <name val="Arial"/>
      <family val="2"/>
      <charset val="238"/>
    </font>
    <font>
      <b/>
      <sz val="10"/>
      <color indexed="10"/>
      <name val="Arial"/>
      <family val="2"/>
      <charset val="238"/>
    </font>
    <font>
      <sz val="10"/>
      <name val="Arial"/>
      <family val="2"/>
      <charset val="238"/>
    </font>
    <font>
      <b/>
      <sz val="11"/>
      <color indexed="10"/>
      <name val="Arial"/>
      <family val="2"/>
      <charset val="238"/>
    </font>
    <font>
      <b/>
      <sz val="11"/>
      <color indexed="10"/>
      <name val="Arial"/>
      <family val="2"/>
      <charset val="238"/>
    </font>
    <font>
      <sz val="7"/>
      <name val="Arial Narrow"/>
      <family val="2"/>
      <charset val="238"/>
    </font>
    <font>
      <b/>
      <sz val="8"/>
      <name val="Arial Narrow"/>
      <family val="2"/>
      <charset val="238"/>
    </font>
    <font>
      <sz val="8"/>
      <name val="Arial Narrow"/>
      <family val="2"/>
      <charset val="238"/>
    </font>
    <font>
      <i/>
      <sz val="8"/>
      <name val="Arial Narrow"/>
      <family val="2"/>
      <charset val="238"/>
    </font>
    <font>
      <i/>
      <sz val="7"/>
      <name val="Arial Narrow"/>
      <family val="2"/>
      <charset val="238"/>
    </font>
    <font>
      <sz val="8"/>
      <color indexed="10"/>
      <name val="Arial Narrow"/>
      <family val="2"/>
      <charset val="238"/>
    </font>
    <font>
      <sz val="18"/>
      <name val="Arial Narrow"/>
      <family val="2"/>
      <charset val="238"/>
    </font>
    <font>
      <sz val="10"/>
      <name val="Arial Narrow"/>
      <family val="2"/>
      <charset val="238"/>
    </font>
    <font>
      <b/>
      <sz val="10"/>
      <name val="Arial Narrow"/>
      <family val="2"/>
      <charset val="238"/>
    </font>
    <font>
      <sz val="6"/>
      <name val="Arial Narrow"/>
      <family val="2"/>
      <charset val="238"/>
    </font>
    <font>
      <b/>
      <sz val="9"/>
      <name val="Arial Narrow"/>
      <family val="2"/>
      <charset val="238"/>
    </font>
    <font>
      <sz val="9"/>
      <name val="Arial Narrow"/>
      <family val="2"/>
      <charset val="238"/>
    </font>
    <font>
      <b/>
      <sz val="7"/>
      <name val="Arial Narrow"/>
      <family val="2"/>
      <charset val="238"/>
    </font>
    <font>
      <sz val="11"/>
      <color indexed="8"/>
      <name val="Calibri"/>
      <family val="2"/>
      <charset val="238"/>
    </font>
    <font>
      <sz val="11"/>
      <color indexed="9"/>
      <name val="Calibri"/>
      <family val="2"/>
      <charset val="238"/>
    </font>
    <font>
      <b/>
      <sz val="11"/>
      <color indexed="8"/>
      <name val="Calibri"/>
      <family val="2"/>
      <charset val="238"/>
    </font>
    <font>
      <sz val="11"/>
      <color indexed="20"/>
      <name val="Calibri"/>
      <family val="2"/>
      <charset val="238"/>
    </font>
    <font>
      <b/>
      <sz val="11"/>
      <color indexed="9"/>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b/>
      <sz val="18"/>
      <color indexed="62"/>
      <name val="Cambria"/>
      <family val="2"/>
      <charset val="238"/>
    </font>
    <font>
      <sz val="11"/>
      <color indexed="19"/>
      <name val="Calibri"/>
      <family val="2"/>
      <charset val="238"/>
    </font>
    <font>
      <sz val="11"/>
      <color indexed="10"/>
      <name val="Calibri"/>
      <family val="2"/>
      <charset val="238"/>
    </font>
    <font>
      <sz val="11"/>
      <color indexed="17"/>
      <name val="Calibri"/>
      <family val="2"/>
      <charset val="238"/>
    </font>
    <font>
      <sz val="11"/>
      <color indexed="62"/>
      <name val="Calibri"/>
      <family val="2"/>
      <charset val="238"/>
    </font>
    <font>
      <b/>
      <sz val="11"/>
      <color indexed="10"/>
      <name val="Calibri"/>
      <family val="2"/>
      <charset val="238"/>
    </font>
    <font>
      <b/>
      <sz val="11"/>
      <color indexed="63"/>
      <name val="Calibri"/>
      <family val="2"/>
      <charset val="238"/>
    </font>
    <font>
      <i/>
      <sz val="11"/>
      <color indexed="23"/>
      <name val="Calibri"/>
      <family val="2"/>
      <charset val="238"/>
    </font>
    <font>
      <b/>
      <sz val="8"/>
      <color indexed="63"/>
      <name val="Arial Narrow"/>
      <family val="2"/>
      <charset val="238"/>
    </font>
    <font>
      <sz val="7"/>
      <color indexed="12"/>
      <name val="Arial Narrow"/>
      <family val="2"/>
      <charset val="238"/>
    </font>
    <font>
      <sz val="6"/>
      <color indexed="12"/>
      <name val="Arial Narrow"/>
      <family val="2"/>
      <charset val="238"/>
    </font>
    <font>
      <b/>
      <sz val="7"/>
      <color indexed="12"/>
      <name val="Arial Narrow"/>
      <family val="2"/>
      <charset val="238"/>
    </font>
    <font>
      <sz val="5"/>
      <color indexed="12"/>
      <name val="Arial Narrow"/>
      <family val="2"/>
      <charset val="238"/>
    </font>
    <font>
      <sz val="7"/>
      <color indexed="12"/>
      <name val="Arial"/>
      <family val="2"/>
      <charset val="238"/>
    </font>
    <font>
      <sz val="1"/>
      <name val="Arial Narrow"/>
      <family val="2"/>
      <charset val="238"/>
    </font>
    <font>
      <b/>
      <sz val="6"/>
      <color indexed="12"/>
      <name val="Arial Narrow"/>
      <family val="2"/>
      <charset val="238"/>
    </font>
    <font>
      <u/>
      <sz val="6"/>
      <color indexed="12"/>
      <name val="Arial CE"/>
      <charset val="238"/>
    </font>
    <font>
      <sz val="10"/>
      <name val="Arial"/>
      <family val="2"/>
      <charset val="238"/>
    </font>
    <font>
      <sz val="14"/>
      <color indexed="10"/>
      <name val="Arial CE"/>
      <charset val="238"/>
    </font>
    <font>
      <sz val="8"/>
      <color theme="0" tint="-0.499984740745262"/>
      <name val="Arial Narrow"/>
      <family val="2"/>
      <charset val="238"/>
    </font>
    <font>
      <sz val="4"/>
      <color theme="0" tint="-0.34998626667073579"/>
      <name val="Arial Narrow"/>
      <family val="2"/>
      <charset val="238"/>
    </font>
    <font>
      <i/>
      <sz val="5"/>
      <color indexed="12"/>
      <name val="Arial Narrow"/>
      <family val="2"/>
      <charset val="238"/>
    </font>
    <font>
      <sz val="5"/>
      <name val="Arial Narrow"/>
      <family val="2"/>
      <charset val="238"/>
    </font>
    <font>
      <sz val="7"/>
      <color indexed="23"/>
      <name val="Arial Narrow"/>
      <family val="2"/>
      <charset val="238"/>
    </font>
    <font>
      <sz val="4"/>
      <color theme="0" tint="-0.499984740745262"/>
      <name val="Arial Narrow"/>
      <family val="2"/>
      <charset val="238"/>
    </font>
    <font>
      <sz val="16"/>
      <name val="Arial Narrow"/>
      <family val="2"/>
      <charset val="238"/>
    </font>
    <font>
      <sz val="2"/>
      <name val="Arial Narrow"/>
      <family val="2"/>
      <charset val="238"/>
    </font>
    <font>
      <sz val="4.5"/>
      <name val="Arial Narrow"/>
      <family val="2"/>
      <charset val="238"/>
    </font>
    <font>
      <b/>
      <i/>
      <sz val="6"/>
      <color indexed="12"/>
      <name val="Arial Narrow"/>
      <family val="2"/>
      <charset val="238"/>
    </font>
    <font>
      <i/>
      <sz val="6"/>
      <color indexed="12"/>
      <name val="Arial Narrow"/>
      <family val="2"/>
      <charset val="238"/>
    </font>
    <font>
      <i/>
      <sz val="6"/>
      <name val="Arial Narrow"/>
      <family val="2"/>
      <charset val="238"/>
    </font>
    <font>
      <i/>
      <sz val="7"/>
      <color indexed="12"/>
      <name val="Arial Narrow"/>
      <family val="2"/>
      <charset val="238"/>
    </font>
    <font>
      <sz val="5"/>
      <color indexed="22"/>
      <name val="Arial Narrow"/>
      <family val="2"/>
      <charset val="238"/>
    </font>
  </fonts>
  <fills count="22">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43"/>
      </patternFill>
    </fill>
    <fill>
      <patternFill patternType="solid">
        <fgColor indexed="45"/>
      </patternFill>
    </fill>
    <fill>
      <patternFill patternType="solid">
        <fgColor indexed="53"/>
      </patternFill>
    </fill>
    <fill>
      <patternFill patternType="solid">
        <fgColor indexed="51"/>
      </patternFill>
    </fill>
    <fill>
      <patternFill patternType="solid">
        <fgColor indexed="46"/>
      </patternFill>
    </fill>
    <fill>
      <patternFill patternType="solid">
        <fgColor indexed="55"/>
      </patternFill>
    </fill>
    <fill>
      <patternFill patternType="solid">
        <fgColor indexed="9"/>
      </patternFill>
    </fill>
    <fill>
      <patternFill patternType="solid">
        <fgColor indexed="56"/>
      </patternFill>
    </fill>
    <fill>
      <patternFill patternType="solid">
        <fgColor indexed="54"/>
      </patternFill>
    </fill>
    <fill>
      <patternFill patternType="solid">
        <fgColor indexed="49"/>
      </patternFill>
    </fill>
    <fill>
      <patternFill patternType="solid">
        <fgColor indexed="10"/>
      </patternFill>
    </fill>
    <fill>
      <patternFill patternType="solid">
        <fgColor indexed="22"/>
      </patternFill>
    </fill>
    <fill>
      <patternFill patternType="solid">
        <fgColor indexed="22"/>
        <bgColor indexed="9"/>
      </patternFill>
    </fill>
    <fill>
      <patternFill patternType="solid">
        <fgColor indexed="22"/>
        <bgColor indexed="64"/>
      </patternFill>
    </fill>
    <fill>
      <patternFill patternType="solid">
        <fgColor theme="0"/>
        <bgColor indexed="64"/>
      </patternFill>
    </fill>
  </fills>
  <borders count="58">
    <border>
      <left/>
      <right/>
      <top/>
      <bottom/>
      <diagonal/>
    </border>
    <border>
      <left/>
      <right/>
      <top style="thin">
        <color indexed="56"/>
      </top>
      <bottom style="double">
        <color indexed="56"/>
      </bottom>
      <diagonal/>
    </border>
    <border>
      <left style="double">
        <color indexed="63"/>
      </left>
      <right style="double">
        <color indexed="63"/>
      </right>
      <top style="double">
        <color indexed="63"/>
      </top>
      <bottom style="double">
        <color indexed="63"/>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22"/>
      </left>
      <right style="thin">
        <color indexed="22"/>
      </right>
      <top style="thin">
        <color indexed="22"/>
      </top>
      <bottom style="thin">
        <color indexed="22"/>
      </bottom>
      <diagonal/>
    </border>
    <border>
      <left/>
      <right/>
      <top/>
      <bottom style="double">
        <color indexed="10"/>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ck">
        <color indexed="64"/>
      </left>
      <right style="medium">
        <color indexed="64"/>
      </right>
      <top style="thick">
        <color indexed="64"/>
      </top>
      <bottom style="thick">
        <color indexed="64"/>
      </bottom>
      <diagonal/>
    </border>
  </borders>
  <cellStyleXfs count="58">
    <xf numFmtId="0" fontId="0" fillId="0" borderId="0"/>
    <xf numFmtId="0" fontId="38" fillId="2" borderId="0" applyNumberFormat="0" applyBorder="0" applyAlignment="0" applyProtection="0"/>
    <xf numFmtId="0" fontId="38" fillId="3" borderId="0" applyNumberFormat="0" applyBorder="0" applyAlignment="0" applyProtection="0"/>
    <xf numFmtId="0" fontId="38" fillId="4" borderId="0" applyNumberFormat="0" applyBorder="0" applyAlignment="0" applyProtection="0"/>
    <xf numFmtId="0" fontId="38" fillId="5" borderId="0" applyNumberFormat="0" applyBorder="0" applyAlignment="0" applyProtection="0"/>
    <xf numFmtId="0" fontId="38" fillId="6" borderId="0" applyNumberFormat="0" applyBorder="0" applyAlignment="0" applyProtection="0"/>
    <xf numFmtId="0" fontId="38" fillId="4" borderId="0" applyNumberFormat="0" applyBorder="0" applyAlignment="0" applyProtection="0"/>
    <xf numFmtId="0" fontId="38" fillId="6" borderId="0" applyNumberFormat="0" applyBorder="0" applyAlignment="0" applyProtection="0"/>
    <xf numFmtId="0" fontId="38" fillId="3"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6" borderId="0" applyNumberFormat="0" applyBorder="0" applyAlignment="0" applyProtection="0"/>
    <xf numFmtId="0" fontId="38" fillId="4" borderId="0" applyNumberFormat="0" applyBorder="0" applyAlignment="0" applyProtection="0"/>
    <xf numFmtId="0" fontId="39" fillId="6"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8" borderId="0" applyNumberFormat="0" applyBorder="0" applyAlignment="0" applyProtection="0"/>
    <xf numFmtId="0" fontId="39" fillId="6" borderId="0" applyNumberFormat="0" applyBorder="0" applyAlignment="0" applyProtection="0"/>
    <xf numFmtId="0" fontId="39" fillId="3" borderId="0" applyNumberFormat="0" applyBorder="0" applyAlignment="0" applyProtection="0"/>
    <xf numFmtId="0" fontId="40" fillId="0" borderId="1" applyNumberFormat="0" applyFill="0" applyAlignment="0" applyProtection="0"/>
    <xf numFmtId="0" fontId="10" fillId="0" borderId="0" applyNumberFormat="0" applyFill="0" applyBorder="0" applyAlignment="0" applyProtection="0">
      <alignment vertical="top"/>
      <protection locked="0"/>
    </xf>
    <xf numFmtId="0" fontId="41" fillId="11" borderId="0" applyNumberFormat="0" applyBorder="0" applyAlignment="0" applyProtection="0"/>
    <xf numFmtId="0" fontId="42" fillId="12" borderId="2" applyNumberFormat="0" applyAlignment="0" applyProtection="0"/>
    <xf numFmtId="44" fontId="1" fillId="0" borderId="0" applyFont="0" applyFill="0" applyBorder="0" applyAlignment="0" applyProtection="0"/>
    <xf numFmtId="170" fontId="11" fillId="0" borderId="0" applyFont="0" applyFill="0" applyBorder="0" applyAlignment="0" applyProtection="0"/>
    <xf numFmtId="164" fontId="1" fillId="0" borderId="0" applyFont="0" applyFill="0" applyBorder="0" applyAlignment="0" applyProtection="0"/>
    <xf numFmtId="170" fontId="11" fillId="0" borderId="0" applyFont="0" applyFill="0" applyBorder="0" applyAlignment="0" applyProtection="0"/>
    <xf numFmtId="0" fontId="43" fillId="0" borderId="3" applyNumberFormat="0" applyFill="0" applyAlignment="0" applyProtection="0"/>
    <xf numFmtId="0" fontId="44" fillId="0" borderId="4" applyNumberFormat="0" applyFill="0" applyAlignment="0" applyProtection="0"/>
    <xf numFmtId="0" fontId="45" fillId="0" borderId="5" applyNumberFormat="0" applyFill="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7" borderId="0" applyNumberFormat="0" applyBorder="0" applyAlignment="0" applyProtection="0"/>
    <xf numFmtId="0" fontId="8" fillId="0" borderId="0"/>
    <xf numFmtId="0" fontId="22" fillId="0" borderId="0"/>
    <xf numFmtId="0" fontId="1" fillId="4" borderId="6" applyNumberFormat="0" applyFont="0" applyAlignment="0" applyProtection="0"/>
    <xf numFmtId="9" fontId="1" fillId="0" borderId="0" applyFont="0" applyFill="0" applyBorder="0" applyAlignment="0" applyProtection="0"/>
    <xf numFmtId="165" fontId="22" fillId="0" borderId="0" applyFont="0" applyFill="0" applyBorder="0" applyAlignment="0" applyProtection="0"/>
    <xf numFmtId="0" fontId="48" fillId="0" borderId="7" applyNumberFormat="0" applyFill="0" applyAlignment="0" applyProtection="0"/>
    <xf numFmtId="0" fontId="49" fillId="6" borderId="0" applyNumberFormat="0" applyBorder="0" applyAlignment="0" applyProtection="0"/>
    <xf numFmtId="0" fontId="48" fillId="0" borderId="0" applyNumberFormat="0" applyFill="0" applyBorder="0" applyAlignment="0" applyProtection="0"/>
    <xf numFmtId="0" fontId="50" fillId="7" borderId="8" applyNumberFormat="0" applyAlignment="0" applyProtection="0"/>
    <xf numFmtId="0" fontId="51" fillId="13" borderId="8" applyNumberFormat="0" applyAlignment="0" applyProtection="0"/>
    <xf numFmtId="0" fontId="52" fillId="13" borderId="9" applyNumberFormat="0" applyAlignment="0" applyProtection="0"/>
    <xf numFmtId="0" fontId="53" fillId="0" borderId="0" applyNumberFormat="0" applyFill="0" applyBorder="0" applyAlignment="0" applyProtection="0"/>
    <xf numFmtId="0" fontId="39" fillId="14"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5"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63" fillId="0" borderId="0"/>
    <xf numFmtId="0" fontId="4" fillId="0" borderId="0"/>
    <xf numFmtId="165" fontId="4" fillId="0" borderId="0" applyFont="0" applyFill="0" applyBorder="0" applyAlignment="0" applyProtection="0"/>
    <xf numFmtId="165" fontId="1" fillId="0" borderId="0" applyFont="0" applyFill="0" applyBorder="0" applyAlignment="0" applyProtection="0"/>
    <xf numFmtId="0" fontId="4" fillId="0" borderId="0"/>
    <xf numFmtId="0" fontId="4" fillId="0" borderId="0"/>
    <xf numFmtId="0" fontId="1" fillId="0" borderId="0"/>
  </cellStyleXfs>
  <cellXfs count="452">
    <xf numFmtId="0" fontId="0" fillId="0" borderId="0" xfId="0"/>
    <xf numFmtId="0" fontId="8" fillId="0" borderId="0" xfId="33" applyAlignment="1">
      <alignment vertical="center"/>
    </xf>
    <xf numFmtId="0" fontId="13" fillId="0" borderId="10" xfId="33" applyNumberFormat="1" applyFont="1" applyFill="1" applyBorder="1" applyAlignment="1" applyProtection="1">
      <alignment horizontal="left" vertical="center"/>
    </xf>
    <xf numFmtId="0" fontId="13" fillId="0" borderId="11" xfId="33" applyNumberFormat="1" applyFont="1" applyFill="1" applyBorder="1" applyAlignment="1" applyProtection="1">
      <alignment horizontal="left" vertical="center"/>
    </xf>
    <xf numFmtId="0" fontId="14" fillId="0" borderId="11" xfId="33" applyNumberFormat="1" applyFont="1" applyFill="1" applyBorder="1" applyAlignment="1" applyProtection="1">
      <alignment horizontal="left" vertical="center"/>
    </xf>
    <xf numFmtId="0" fontId="13" fillId="0" borderId="12" xfId="33" applyNumberFormat="1" applyFont="1" applyFill="1" applyBorder="1" applyAlignment="1" applyProtection="1">
      <alignment horizontal="left" vertical="center"/>
    </xf>
    <xf numFmtId="0" fontId="9" fillId="0" borderId="13" xfId="33" applyNumberFormat="1" applyFont="1" applyFill="1" applyBorder="1" applyAlignment="1" applyProtection="1">
      <alignment vertical="center"/>
    </xf>
    <xf numFmtId="0" fontId="9" fillId="0" borderId="14" xfId="33" applyNumberFormat="1" applyFont="1" applyFill="1" applyBorder="1" applyAlignment="1" applyProtection="1">
      <alignment vertical="center"/>
    </xf>
    <xf numFmtId="0" fontId="9" fillId="0" borderId="15" xfId="33" applyNumberFormat="1" applyFont="1" applyFill="1" applyBorder="1" applyAlignment="1" applyProtection="1">
      <alignment vertical="center"/>
    </xf>
    <xf numFmtId="0" fontId="9" fillId="0" borderId="16" xfId="33" applyNumberFormat="1" applyFont="1" applyFill="1" applyBorder="1" applyAlignment="1" applyProtection="1">
      <alignment vertical="center"/>
    </xf>
    <xf numFmtId="0" fontId="9" fillId="0" borderId="0" xfId="33" applyNumberFormat="1" applyFont="1" applyFill="1" applyBorder="1" applyAlignment="1" applyProtection="1">
      <alignment vertical="center"/>
    </xf>
    <xf numFmtId="171" fontId="9" fillId="0" borderId="0" xfId="33" applyNumberFormat="1" applyFont="1" applyFill="1" applyBorder="1" applyAlignment="1" applyProtection="1">
      <alignment vertical="center"/>
    </xf>
    <xf numFmtId="0" fontId="9" fillId="0" borderId="0" xfId="33" applyFont="1" applyAlignment="1">
      <alignment vertical="center"/>
    </xf>
    <xf numFmtId="0" fontId="9" fillId="0" borderId="23" xfId="33" applyNumberFormat="1" applyFont="1" applyFill="1" applyBorder="1" applyAlignment="1" applyProtection="1">
      <alignment vertical="center"/>
    </xf>
    <xf numFmtId="171" fontId="15" fillId="0" borderId="0" xfId="33" applyNumberFormat="1" applyFont="1" applyFill="1" applyBorder="1" applyAlignment="1" applyProtection="1">
      <alignment vertical="center"/>
    </xf>
    <xf numFmtId="0" fontId="15" fillId="0" borderId="0" xfId="33" applyNumberFormat="1" applyFont="1" applyFill="1" applyBorder="1" applyAlignment="1" applyProtection="1">
      <alignment vertical="center"/>
    </xf>
    <xf numFmtId="171" fontId="9" fillId="0" borderId="29" xfId="33" applyNumberFormat="1" applyFont="1" applyFill="1" applyBorder="1" applyAlignment="1" applyProtection="1">
      <alignment vertical="center"/>
    </xf>
    <xf numFmtId="0" fontId="8" fillId="0" borderId="0" xfId="33" applyNumberFormat="1" applyFont="1" applyFill="1" applyBorder="1" applyAlignment="1" applyProtection="1">
      <alignment vertical="center"/>
    </xf>
    <xf numFmtId="0" fontId="9" fillId="0" borderId="31" xfId="33" applyNumberFormat="1" applyFont="1" applyFill="1" applyBorder="1" applyAlignment="1" applyProtection="1">
      <alignment vertical="center"/>
    </xf>
    <xf numFmtId="0" fontId="9" fillId="0" borderId="32" xfId="33" applyNumberFormat="1" applyFont="1" applyFill="1" applyBorder="1" applyAlignment="1" applyProtection="1">
      <alignment vertical="center"/>
    </xf>
    <xf numFmtId="14" fontId="9" fillId="0" borderId="28" xfId="33" applyNumberFormat="1" applyFont="1" applyFill="1" applyBorder="1" applyAlignment="1" applyProtection="1">
      <alignment horizontal="center" vertical="center"/>
    </xf>
    <xf numFmtId="0" fontId="9" fillId="0" borderId="33" xfId="33" applyNumberFormat="1" applyFont="1" applyFill="1" applyBorder="1" applyAlignment="1" applyProtection="1">
      <alignment vertical="center"/>
    </xf>
    <xf numFmtId="0" fontId="9" fillId="0" borderId="34" xfId="33" applyNumberFormat="1" applyFont="1" applyFill="1" applyBorder="1" applyAlignment="1" applyProtection="1">
      <alignment vertical="center"/>
    </xf>
    <xf numFmtId="0" fontId="9" fillId="0" borderId="35" xfId="33" applyNumberFormat="1" applyFont="1" applyFill="1" applyBorder="1" applyAlignment="1" applyProtection="1">
      <alignment vertical="center"/>
    </xf>
    <xf numFmtId="0" fontId="11" fillId="0" borderId="13" xfId="33" applyNumberFormat="1" applyFont="1" applyFill="1" applyBorder="1" applyAlignment="1" applyProtection="1">
      <alignment vertical="center"/>
    </xf>
    <xf numFmtId="0" fontId="11" fillId="0" borderId="14" xfId="33" applyNumberFormat="1" applyFont="1" applyFill="1" applyBorder="1" applyAlignment="1" applyProtection="1">
      <alignment vertical="center"/>
    </xf>
    <xf numFmtId="0" fontId="11" fillId="0" borderId="15" xfId="33" applyNumberFormat="1" applyFont="1" applyFill="1" applyBorder="1" applyAlignment="1" applyProtection="1">
      <alignment vertical="center"/>
    </xf>
    <xf numFmtId="0" fontId="8" fillId="0" borderId="36" xfId="33" applyNumberFormat="1" applyFont="1" applyFill="1" applyBorder="1" applyAlignment="1" applyProtection="1">
      <alignment vertical="center"/>
    </xf>
    <xf numFmtId="0" fontId="8" fillId="0" borderId="31" xfId="33" applyNumberFormat="1" applyFont="1" applyFill="1" applyBorder="1" applyAlignment="1" applyProtection="1">
      <alignment vertical="center"/>
    </xf>
    <xf numFmtId="171" fontId="8" fillId="0" borderId="31" xfId="33" applyNumberFormat="1" applyFont="1" applyFill="1" applyBorder="1" applyAlignment="1" applyProtection="1">
      <alignment vertical="center"/>
    </xf>
    <xf numFmtId="0" fontId="8" fillId="0" borderId="29" xfId="33" applyNumberFormat="1" applyFont="1" applyFill="1" applyBorder="1" applyAlignment="1" applyProtection="1">
      <alignment vertical="center"/>
    </xf>
    <xf numFmtId="0" fontId="8" fillId="0" borderId="32" xfId="33" applyNumberFormat="1" applyFont="1" applyFill="1" applyBorder="1" applyAlignment="1" applyProtection="1">
      <alignment vertical="center"/>
    </xf>
    <xf numFmtId="171" fontId="8" fillId="0" borderId="30" xfId="33" applyNumberFormat="1" applyFont="1" applyFill="1" applyBorder="1" applyAlignment="1" applyProtection="1">
      <alignment vertical="center"/>
    </xf>
    <xf numFmtId="0" fontId="8" fillId="0" borderId="36" xfId="33" applyNumberFormat="1" applyFont="1" applyFill="1" applyBorder="1" applyAlignment="1" applyProtection="1">
      <alignment horizontal="left" vertical="center"/>
    </xf>
    <xf numFmtId="0" fontId="8" fillId="0" borderId="31" xfId="33" applyNumberFormat="1" applyFont="1" applyFill="1" applyBorder="1" applyAlignment="1" applyProtection="1">
      <alignment horizontal="left" vertical="center"/>
    </xf>
    <xf numFmtId="0" fontId="8" fillId="0" borderId="32" xfId="33" applyNumberFormat="1" applyFont="1" applyFill="1" applyBorder="1" applyAlignment="1" applyProtection="1">
      <alignment horizontal="left" vertical="center"/>
    </xf>
    <xf numFmtId="0" fontId="8" fillId="0" borderId="30" xfId="33" applyNumberFormat="1" applyFont="1" applyFill="1" applyBorder="1" applyAlignment="1" applyProtection="1">
      <alignment vertical="center"/>
    </xf>
    <xf numFmtId="0" fontId="8" fillId="0" borderId="37" xfId="33" applyNumberFormat="1" applyFont="1" applyFill="1" applyBorder="1" applyAlignment="1" applyProtection="1">
      <alignment vertical="center"/>
    </xf>
    <xf numFmtId="0" fontId="8" fillId="0" borderId="38" xfId="33" applyNumberFormat="1" applyFont="1" applyFill="1" applyBorder="1" applyAlignment="1" applyProtection="1">
      <alignment vertical="center"/>
    </xf>
    <xf numFmtId="173" fontId="8" fillId="0" borderId="39" xfId="33" applyNumberFormat="1" applyFont="1" applyFill="1" applyBorder="1" applyAlignment="1" applyProtection="1">
      <alignment vertical="center"/>
    </xf>
    <xf numFmtId="3" fontId="8" fillId="0" borderId="40" xfId="33" applyNumberFormat="1" applyFont="1" applyFill="1" applyBorder="1" applyAlignment="1" applyProtection="1">
      <alignment vertical="center"/>
    </xf>
    <xf numFmtId="3" fontId="8" fillId="0" borderId="39" xfId="33" applyNumberFormat="1" applyFont="1" applyFill="1" applyBorder="1" applyAlignment="1" applyProtection="1">
      <alignment vertical="center"/>
    </xf>
    <xf numFmtId="0" fontId="8" fillId="0" borderId="40" xfId="33" applyNumberFormat="1" applyFont="1" applyFill="1" applyBorder="1" applyAlignment="1" applyProtection="1">
      <alignment vertical="center"/>
    </xf>
    <xf numFmtId="173" fontId="8" fillId="0" borderId="38" xfId="33" applyNumberFormat="1" applyFont="1" applyFill="1" applyBorder="1" applyAlignment="1" applyProtection="1">
      <alignment vertical="center"/>
    </xf>
    <xf numFmtId="3" fontId="8" fillId="0" borderId="41" xfId="33" applyNumberFormat="1" applyFont="1" applyFill="1" applyBorder="1" applyAlignment="1" applyProtection="1">
      <alignment vertical="center"/>
    </xf>
    <xf numFmtId="0" fontId="16" fillId="0" borderId="0" xfId="33" applyFont="1" applyAlignment="1">
      <alignment vertical="center"/>
    </xf>
    <xf numFmtId="0" fontId="17" fillId="18" borderId="42" xfId="33" applyNumberFormat="1" applyFont="1" applyFill="1" applyBorder="1" applyAlignment="1" applyProtection="1">
      <alignment horizontal="center" vertical="center"/>
    </xf>
    <xf numFmtId="0" fontId="11" fillId="18" borderId="43" xfId="33" applyNumberFormat="1" applyFont="1" applyFill="1" applyBorder="1" applyAlignment="1" applyProtection="1">
      <alignment horizontal="center" vertical="center"/>
    </xf>
    <xf numFmtId="0" fontId="18" fillId="0" borderId="44" xfId="33" applyNumberFormat="1" applyFont="1" applyFill="1" applyBorder="1" applyAlignment="1" applyProtection="1">
      <alignment horizontal="left" vertical="center"/>
    </xf>
    <xf numFmtId="0" fontId="11" fillId="0" borderId="44" xfId="33" applyNumberFormat="1" applyFont="1" applyFill="1" applyBorder="1" applyAlignment="1" applyProtection="1">
      <alignment horizontal="left" vertical="center"/>
    </xf>
    <xf numFmtId="0" fontId="11" fillId="0" borderId="45" xfId="33" applyNumberFormat="1" applyFont="1" applyFill="1" applyBorder="1" applyAlignment="1" applyProtection="1">
      <alignment horizontal="left" vertical="center"/>
    </xf>
    <xf numFmtId="0" fontId="8" fillId="18" borderId="43" xfId="33" applyNumberFormat="1" applyFont="1" applyFill="1" applyBorder="1" applyAlignment="1" applyProtection="1">
      <alignment horizontal="center" vertical="center"/>
    </xf>
    <xf numFmtId="0" fontId="19" fillId="18" borderId="43" xfId="33" applyNumberFormat="1" applyFont="1" applyFill="1" applyBorder="1" applyAlignment="1" applyProtection="1">
      <alignment vertical="center"/>
    </xf>
    <xf numFmtId="0" fontId="12" fillId="0" borderId="46" xfId="33" applyNumberFormat="1" applyFont="1" applyFill="1" applyBorder="1" applyAlignment="1" applyProtection="1">
      <alignment horizontal="center" vertical="center"/>
    </xf>
    <xf numFmtId="0" fontId="12" fillId="0" borderId="28" xfId="33" applyNumberFormat="1" applyFont="1" applyFill="1" applyBorder="1" applyAlignment="1" applyProtection="1">
      <alignment vertical="center"/>
    </xf>
    <xf numFmtId="174" fontId="4" fillId="0" borderId="29" xfId="24" applyNumberFormat="1" applyFont="1" applyFill="1" applyBorder="1" applyAlignment="1" applyProtection="1">
      <alignment vertical="center"/>
    </xf>
    <xf numFmtId="3" fontId="8" fillId="0" borderId="30" xfId="33" applyNumberFormat="1" applyFont="1" applyFill="1" applyBorder="1" applyAlignment="1" applyProtection="1">
      <alignment vertical="center"/>
    </xf>
    <xf numFmtId="0" fontId="12" fillId="0" borderId="29" xfId="33" applyNumberFormat="1" applyFont="1" applyFill="1" applyBorder="1" applyAlignment="1" applyProtection="1">
      <alignment vertical="center"/>
    </xf>
    <xf numFmtId="0" fontId="12" fillId="0" borderId="32" xfId="33" applyNumberFormat="1" applyFont="1" applyFill="1" applyBorder="1" applyAlignment="1" applyProtection="1">
      <alignment vertical="center"/>
    </xf>
    <xf numFmtId="174" fontId="8" fillId="0" borderId="29" xfId="24" applyNumberFormat="1" applyFont="1" applyFill="1" applyBorder="1" applyAlignment="1" applyProtection="1">
      <alignment vertical="center"/>
    </xf>
    <xf numFmtId="171" fontId="12" fillId="0" borderId="29" xfId="33" applyNumberFormat="1" applyFont="1" applyFill="1" applyBorder="1" applyAlignment="1" applyProtection="1">
      <alignment vertical="center"/>
    </xf>
    <xf numFmtId="166" fontId="15" fillId="0" borderId="29" xfId="33" applyNumberFormat="1" applyFont="1" applyFill="1" applyBorder="1" applyAlignment="1" applyProtection="1">
      <alignment horizontal="right" vertical="center"/>
    </xf>
    <xf numFmtId="174" fontId="8" fillId="0" borderId="47" xfId="24" applyNumberFormat="1" applyFont="1" applyFill="1" applyBorder="1" applyAlignment="1" applyProtection="1">
      <alignment vertical="center"/>
    </xf>
    <xf numFmtId="171" fontId="6" fillId="0" borderId="29" xfId="33" applyNumberFormat="1" applyFont="1" applyFill="1" applyBorder="1" applyAlignment="1" applyProtection="1">
      <alignment vertical="center"/>
    </xf>
    <xf numFmtId="4" fontId="12" fillId="0" borderId="32" xfId="33" applyNumberFormat="1" applyFont="1" applyFill="1" applyBorder="1" applyAlignment="1" applyProtection="1">
      <alignment vertical="center"/>
    </xf>
    <xf numFmtId="174" fontId="2" fillId="0" borderId="29" xfId="24" applyNumberFormat="1" applyFont="1" applyFill="1" applyBorder="1" applyAlignment="1" applyProtection="1">
      <alignment vertical="center"/>
    </xf>
    <xf numFmtId="0" fontId="8" fillId="0" borderId="0" xfId="33" applyFill="1" applyAlignment="1">
      <alignment vertical="center"/>
    </xf>
    <xf numFmtId="0" fontId="12" fillId="0" borderId="31" xfId="33" applyNumberFormat="1" applyFont="1" applyFill="1" applyBorder="1" applyAlignment="1" applyProtection="1">
      <alignment vertical="center"/>
    </xf>
    <xf numFmtId="0" fontId="20" fillId="0" borderId="29" xfId="33" applyNumberFormat="1" applyFont="1" applyFill="1" applyBorder="1" applyAlignment="1" applyProtection="1">
      <alignment vertical="center"/>
    </xf>
    <xf numFmtId="174" fontId="4" fillId="0" borderId="10" xfId="24" applyNumberFormat="1" applyFont="1" applyFill="1" applyBorder="1" applyAlignment="1" applyProtection="1">
      <alignment vertical="center"/>
    </xf>
    <xf numFmtId="3" fontId="8" fillId="0" borderId="12" xfId="33" applyNumberFormat="1" applyFont="1" applyFill="1" applyBorder="1" applyAlignment="1" applyProtection="1">
      <alignment vertical="center"/>
    </xf>
    <xf numFmtId="174" fontId="8" fillId="0" borderId="10" xfId="24" applyNumberFormat="1" applyFont="1" applyFill="1" applyBorder="1" applyAlignment="1" applyProtection="1">
      <alignment vertical="center"/>
    </xf>
    <xf numFmtId="174" fontId="8" fillId="0" borderId="48" xfId="24" applyNumberFormat="1" applyFont="1" applyFill="1" applyBorder="1" applyAlignment="1" applyProtection="1">
      <alignment vertical="center"/>
    </xf>
    <xf numFmtId="174" fontId="12" fillId="0" borderId="0" xfId="26" applyNumberFormat="1" applyFont="1" applyAlignment="1">
      <alignment vertical="center"/>
    </xf>
    <xf numFmtId="0" fontId="12" fillId="0" borderId="49" xfId="33" applyNumberFormat="1" applyFont="1" applyFill="1" applyBorder="1" applyAlignment="1" applyProtection="1">
      <alignment horizontal="center" vertical="center"/>
    </xf>
    <xf numFmtId="0" fontId="12" fillId="0" borderId="40" xfId="33" applyNumberFormat="1" applyFont="1" applyFill="1" applyBorder="1" applyAlignment="1" applyProtection="1">
      <alignment vertical="center"/>
    </xf>
    <xf numFmtId="0" fontId="12" fillId="0" borderId="38" xfId="33" applyNumberFormat="1" applyFont="1" applyFill="1" applyBorder="1" applyAlignment="1" applyProtection="1">
      <alignment vertical="center"/>
    </xf>
    <xf numFmtId="0" fontId="12" fillId="0" borderId="39" xfId="33" applyNumberFormat="1" applyFont="1" applyFill="1" applyBorder="1" applyAlignment="1" applyProtection="1">
      <alignment vertical="center"/>
    </xf>
    <xf numFmtId="174" fontId="4" fillId="0" borderId="40" xfId="24" applyNumberFormat="1" applyFont="1" applyFill="1" applyBorder="1" applyAlignment="1" applyProtection="1">
      <alignment vertical="center"/>
    </xf>
    <xf numFmtId="174" fontId="8" fillId="0" borderId="40" xfId="24" applyNumberFormat="1" applyFont="1" applyFill="1" applyBorder="1" applyAlignment="1" applyProtection="1">
      <alignment vertical="center"/>
    </xf>
    <xf numFmtId="174" fontId="8" fillId="0" borderId="50" xfId="24" applyNumberFormat="1" applyFont="1" applyFill="1" applyBorder="1" applyAlignment="1" applyProtection="1">
      <alignment vertical="center"/>
    </xf>
    <xf numFmtId="0" fontId="8" fillId="0" borderId="15" xfId="33" applyNumberFormat="1" applyFont="1" applyFill="1" applyBorder="1" applyAlignment="1" applyProtection="1">
      <alignment vertical="center"/>
    </xf>
    <xf numFmtId="0" fontId="19" fillId="18" borderId="43" xfId="33" applyNumberFormat="1" applyFont="1" applyFill="1" applyBorder="1" applyAlignment="1" applyProtection="1">
      <alignment horizontal="left" vertical="center"/>
    </xf>
    <xf numFmtId="174" fontId="11" fillId="0" borderId="45" xfId="24" applyNumberFormat="1" applyFont="1" applyFill="1" applyBorder="1" applyAlignment="1" applyProtection="1">
      <alignment horizontal="left" vertical="center"/>
    </xf>
    <xf numFmtId="173" fontId="8" fillId="0" borderId="23" xfId="33" applyNumberFormat="1" applyFont="1" applyFill="1" applyBorder="1" applyAlignment="1" applyProtection="1">
      <alignment vertical="center"/>
    </xf>
    <xf numFmtId="164" fontId="8" fillId="0" borderId="0" xfId="25" applyFont="1" applyAlignment="1">
      <alignment vertical="center"/>
    </xf>
    <xf numFmtId="0" fontId="8" fillId="0" borderId="27" xfId="33" applyNumberFormat="1" applyFont="1" applyFill="1" applyBorder="1" applyAlignment="1" applyProtection="1">
      <alignment vertical="center"/>
    </xf>
    <xf numFmtId="9" fontId="12" fillId="0" borderId="28" xfId="36" applyFont="1" applyFill="1" applyBorder="1" applyAlignment="1" applyProtection="1">
      <alignment horizontal="right" vertical="center"/>
    </xf>
    <xf numFmtId="3" fontId="4" fillId="0" borderId="31" xfId="33" applyNumberFormat="1" applyFont="1" applyFill="1" applyBorder="1" applyAlignment="1" applyProtection="1">
      <alignment vertical="center"/>
    </xf>
    <xf numFmtId="9" fontId="12" fillId="0" borderId="28" xfId="33" applyNumberFormat="1" applyFont="1" applyFill="1" applyBorder="1" applyAlignment="1" applyProtection="1">
      <alignment vertical="center"/>
    </xf>
    <xf numFmtId="10" fontId="21" fillId="0" borderId="0" xfId="36" applyNumberFormat="1" applyFont="1" applyAlignment="1">
      <alignment vertical="center"/>
    </xf>
    <xf numFmtId="0" fontId="8" fillId="0" borderId="23" xfId="33" applyNumberFormat="1" applyFont="1" applyFill="1" applyBorder="1" applyAlignment="1" applyProtection="1">
      <alignment vertical="center"/>
    </xf>
    <xf numFmtId="0" fontId="11" fillId="0" borderId="40" xfId="33" applyNumberFormat="1" applyFont="1" applyFill="1" applyBorder="1" applyAlignment="1" applyProtection="1">
      <alignment vertical="center"/>
    </xf>
    <xf numFmtId="0" fontId="12" fillId="0" borderId="20" xfId="33" applyNumberFormat="1" applyFont="1" applyFill="1" applyBorder="1" applyAlignment="1" applyProtection="1">
      <alignment horizontal="center" vertical="center"/>
    </xf>
    <xf numFmtId="0" fontId="12" fillId="0" borderId="23" xfId="33" applyNumberFormat="1" applyFont="1" applyFill="1" applyBorder="1" applyAlignment="1" applyProtection="1">
      <alignment horizontal="center" vertical="center"/>
    </xf>
    <xf numFmtId="165" fontId="8" fillId="0" borderId="0" xfId="33" applyNumberFormat="1" applyAlignment="1">
      <alignment vertical="center"/>
    </xf>
    <xf numFmtId="0" fontId="12" fillId="0" borderId="35" xfId="33" applyNumberFormat="1" applyFont="1" applyFill="1" applyBorder="1" applyAlignment="1" applyProtection="1">
      <alignment horizontal="center" vertical="center"/>
    </xf>
    <xf numFmtId="166" fontId="8" fillId="0" borderId="0" xfId="33" applyNumberFormat="1" applyFill="1" applyAlignment="1">
      <alignment vertical="center"/>
    </xf>
    <xf numFmtId="174" fontId="24" fillId="4" borderId="57" xfId="24" applyNumberFormat="1" applyFont="1" applyFill="1" applyBorder="1" applyAlignment="1" applyProtection="1">
      <alignment vertical="center"/>
    </xf>
    <xf numFmtId="174" fontId="23" fillId="4" borderId="48" xfId="24" applyNumberFormat="1" applyFont="1" applyFill="1" applyBorder="1" applyAlignment="1" applyProtection="1">
      <alignment vertical="center"/>
    </xf>
    <xf numFmtId="167" fontId="26" fillId="0" borderId="18" xfId="23" applyNumberFormat="1" applyFont="1" applyBorder="1" applyAlignment="1">
      <alignment vertical="center"/>
    </xf>
    <xf numFmtId="167" fontId="27" fillId="0" borderId="0" xfId="23" applyNumberFormat="1" applyFont="1" applyBorder="1" applyAlignment="1">
      <alignment vertical="center"/>
    </xf>
    <xf numFmtId="167" fontId="27" fillId="0" borderId="25" xfId="23" applyNumberFormat="1" applyFont="1" applyBorder="1" applyAlignment="1">
      <alignment vertical="center"/>
    </xf>
    <xf numFmtId="167" fontId="28" fillId="0" borderId="0" xfId="23" applyNumberFormat="1" applyFont="1" applyBorder="1" applyAlignment="1">
      <alignment vertical="center"/>
    </xf>
    <xf numFmtId="167" fontId="28" fillId="0" borderId="25" xfId="23" applyNumberFormat="1" applyFont="1" applyBorder="1" applyAlignment="1">
      <alignment vertical="center"/>
    </xf>
    <xf numFmtId="0" fontId="27" fillId="0" borderId="0" xfId="0" applyFont="1" applyAlignment="1">
      <alignment horizontal="center" vertical="center"/>
    </xf>
    <xf numFmtId="0" fontId="26" fillId="0" borderId="17" xfId="0" applyFont="1" applyBorder="1" applyAlignment="1">
      <alignment horizontal="left" vertical="center" indent="1"/>
    </xf>
    <xf numFmtId="0" fontId="27" fillId="0" borderId="0" xfId="0" applyFont="1" applyAlignment="1">
      <alignment vertical="center"/>
    </xf>
    <xf numFmtId="167" fontId="27" fillId="0" borderId="0" xfId="23" applyNumberFormat="1" applyFont="1" applyAlignment="1">
      <alignment vertical="center"/>
    </xf>
    <xf numFmtId="0" fontId="27" fillId="0" borderId="22" xfId="0" applyFont="1" applyBorder="1" applyAlignment="1">
      <alignment horizontal="left" vertical="center" indent="1"/>
    </xf>
    <xf numFmtId="0" fontId="27" fillId="0" borderId="0" xfId="0" applyFont="1" applyBorder="1" applyAlignment="1">
      <alignment horizontal="center" vertical="center"/>
    </xf>
    <xf numFmtId="0" fontId="27" fillId="0" borderId="0" xfId="0" applyFont="1" applyBorder="1" applyAlignment="1">
      <alignment vertical="center"/>
    </xf>
    <xf numFmtId="0" fontId="26" fillId="0" borderId="0" xfId="0" applyFont="1" applyAlignment="1">
      <alignment horizontal="center" vertical="center"/>
    </xf>
    <xf numFmtId="0" fontId="26" fillId="0" borderId="0" xfId="0" applyFont="1" applyAlignment="1">
      <alignment vertical="center"/>
    </xf>
    <xf numFmtId="167" fontId="26" fillId="0" borderId="0" xfId="23" applyNumberFormat="1" applyFont="1" applyAlignment="1">
      <alignment vertical="center"/>
    </xf>
    <xf numFmtId="0" fontId="27" fillId="0" borderId="24" xfId="0" applyFont="1" applyBorder="1" applyAlignment="1">
      <alignment horizontal="left" vertical="center" indent="1"/>
    </xf>
    <xf numFmtId="0" fontId="27" fillId="0" borderId="25" xfId="0" applyFont="1" applyBorder="1" applyAlignment="1">
      <alignment horizontal="center" vertical="center"/>
    </xf>
    <xf numFmtId="0" fontId="27" fillId="0" borderId="25" xfId="0" applyFont="1" applyBorder="1" applyAlignment="1">
      <alignment vertical="center"/>
    </xf>
    <xf numFmtId="0" fontId="29" fillId="0" borderId="22" xfId="0" applyFont="1" applyBorder="1" applyAlignment="1">
      <alignment horizontal="left" vertical="center" indent="1"/>
    </xf>
    <xf numFmtId="0" fontId="29" fillId="0" borderId="24" xfId="0" applyFont="1" applyBorder="1" applyAlignment="1">
      <alignment horizontal="left" vertical="center" indent="1"/>
    </xf>
    <xf numFmtId="0" fontId="26" fillId="0" borderId="18" xfId="0" applyFont="1" applyBorder="1" applyAlignment="1">
      <alignment horizontal="center" vertical="center"/>
    </xf>
    <xf numFmtId="0" fontId="26" fillId="0" borderId="18" xfId="0" applyFont="1" applyBorder="1" applyAlignment="1">
      <alignment vertical="center"/>
    </xf>
    <xf numFmtId="167" fontId="30" fillId="0" borderId="0" xfId="23" applyNumberFormat="1" applyFont="1" applyAlignment="1">
      <alignment vertical="center"/>
    </xf>
    <xf numFmtId="0" fontId="27" fillId="0" borderId="0" xfId="34" applyFont="1" applyBorder="1" applyAlignment="1">
      <alignment vertical="center"/>
    </xf>
    <xf numFmtId="167" fontId="36" fillId="0" borderId="21" xfId="23" applyNumberFormat="1" applyFont="1" applyBorder="1" applyAlignment="1">
      <alignment vertical="center"/>
    </xf>
    <xf numFmtId="167" fontId="36" fillId="0" borderId="26" xfId="23" applyNumberFormat="1" applyFont="1" applyBorder="1" applyAlignment="1">
      <alignment vertical="center"/>
    </xf>
    <xf numFmtId="167" fontId="35" fillId="0" borderId="19" xfId="23" applyNumberFormat="1" applyFont="1" applyBorder="1" applyAlignment="1">
      <alignment vertical="center"/>
    </xf>
    <xf numFmtId="172" fontId="27" fillId="0" borderId="0" xfId="34" applyNumberFormat="1" applyFont="1" applyFill="1" applyBorder="1" applyAlignment="1" applyProtection="1">
      <alignment horizontal="right" vertical="center"/>
    </xf>
    <xf numFmtId="3" fontId="9" fillId="0" borderId="47" xfId="33" applyNumberFormat="1" applyFont="1" applyFill="1" applyBorder="1" applyAlignment="1" applyProtection="1">
      <alignment horizontal="center" vertical="center"/>
    </xf>
    <xf numFmtId="0" fontId="25" fillId="0" borderId="0" xfId="34" applyFont="1" applyBorder="1" applyAlignment="1">
      <alignment vertical="center"/>
    </xf>
    <xf numFmtId="172" fontId="26" fillId="19" borderId="0" xfId="34" applyNumberFormat="1" applyFont="1" applyFill="1" applyBorder="1" applyAlignment="1" applyProtection="1">
      <alignment horizontal="right" vertical="center"/>
    </xf>
    <xf numFmtId="49" fontId="27" fillId="19" borderId="0" xfId="34" applyNumberFormat="1" applyFont="1" applyFill="1" applyBorder="1" applyAlignment="1" applyProtection="1">
      <alignment horizontal="left" vertical="center"/>
    </xf>
    <xf numFmtId="49" fontId="32" fillId="19" borderId="0" xfId="34" applyNumberFormat="1" applyFont="1" applyFill="1" applyBorder="1" applyAlignment="1" applyProtection="1">
      <alignment horizontal="left" vertical="center"/>
    </xf>
    <xf numFmtId="49" fontId="37" fillId="19" borderId="0" xfId="34" applyNumberFormat="1" applyFont="1" applyFill="1" applyBorder="1" applyAlignment="1" applyProtection="1">
      <alignment horizontal="left" vertical="center"/>
    </xf>
    <xf numFmtId="2" fontId="33" fillId="19" borderId="0" xfId="34" applyNumberFormat="1" applyFont="1" applyFill="1" applyBorder="1" applyAlignment="1" applyProtection="1">
      <alignment vertical="center"/>
    </xf>
    <xf numFmtId="0" fontId="33" fillId="19" borderId="0" xfId="34" applyNumberFormat="1" applyFont="1" applyFill="1" applyBorder="1" applyAlignment="1" applyProtection="1">
      <alignment horizontal="center" vertical="center"/>
    </xf>
    <xf numFmtId="0" fontId="33" fillId="19" borderId="0" xfId="34" applyNumberFormat="1" applyFont="1" applyFill="1" applyBorder="1" applyAlignment="1" applyProtection="1">
      <alignment vertical="center"/>
    </xf>
    <xf numFmtId="44" fontId="33" fillId="19" borderId="0" xfId="37" applyNumberFormat="1" applyFont="1" applyFill="1" applyBorder="1" applyAlignment="1" applyProtection="1">
      <alignment horizontal="right" vertical="center"/>
    </xf>
    <xf numFmtId="49" fontId="26" fillId="19" borderId="0" xfId="34" applyNumberFormat="1" applyFont="1" applyFill="1" applyBorder="1" applyAlignment="1" applyProtection="1">
      <alignment horizontal="right" vertical="center"/>
    </xf>
    <xf numFmtId="0" fontId="32" fillId="0" borderId="0" xfId="34" applyFont="1" applyBorder="1" applyAlignment="1">
      <alignment vertical="center"/>
    </xf>
    <xf numFmtId="1" fontId="26" fillId="0" borderId="0" xfId="34" applyNumberFormat="1" applyFont="1" applyFill="1" applyBorder="1" applyAlignment="1" applyProtection="1">
      <alignment horizontal="left" vertical="center"/>
    </xf>
    <xf numFmtId="49" fontId="32" fillId="0" borderId="0" xfId="34" applyNumberFormat="1" applyFont="1" applyFill="1" applyBorder="1" applyAlignment="1" applyProtection="1">
      <alignment horizontal="left" vertical="center"/>
    </xf>
    <xf numFmtId="49" fontId="25" fillId="0" borderId="0" xfId="34" applyNumberFormat="1" applyFont="1" applyFill="1" applyBorder="1" applyAlignment="1" applyProtection="1">
      <alignment horizontal="left" vertical="center"/>
    </xf>
    <xf numFmtId="2" fontId="32" fillId="0" borderId="0" xfId="34" applyNumberFormat="1" applyFont="1" applyFill="1" applyBorder="1" applyAlignment="1" applyProtection="1">
      <alignment horizontal="left" vertical="center"/>
    </xf>
    <xf numFmtId="49" fontId="32" fillId="0" borderId="0" xfId="34" applyNumberFormat="1" applyFont="1" applyFill="1" applyBorder="1" applyAlignment="1" applyProtection="1">
      <alignment horizontal="center" vertical="center"/>
    </xf>
    <xf numFmtId="4" fontId="32" fillId="0" borderId="0" xfId="34" applyNumberFormat="1" applyFont="1" applyFill="1" applyBorder="1" applyAlignment="1" applyProtection="1">
      <alignment horizontal="right" vertical="center"/>
    </xf>
    <xf numFmtId="44" fontId="32" fillId="0" borderId="0" xfId="37" applyNumberFormat="1" applyFont="1" applyFill="1" applyBorder="1" applyAlignment="1" applyProtection="1">
      <alignment horizontal="right" vertical="center"/>
    </xf>
    <xf numFmtId="4" fontId="27" fillId="0" borderId="0" xfId="34" applyNumberFormat="1" applyFont="1" applyFill="1" applyBorder="1" applyAlignment="1" applyProtection="1">
      <alignment horizontal="right" vertical="center"/>
    </xf>
    <xf numFmtId="2" fontId="32" fillId="0" borderId="0" xfId="34" applyNumberFormat="1" applyFont="1" applyFill="1" applyBorder="1" applyAlignment="1" applyProtection="1">
      <alignment horizontal="left" vertical="center" wrapText="1"/>
    </xf>
    <xf numFmtId="44" fontId="32" fillId="0" borderId="0" xfId="37" applyNumberFormat="1" applyFont="1" applyFill="1" applyBorder="1" applyAlignment="1" applyProtection="1">
      <alignment horizontal="right" vertical="center" shrinkToFit="1"/>
    </xf>
    <xf numFmtId="168" fontId="27" fillId="0" borderId="0" xfId="34" applyNumberFormat="1" applyFont="1" applyFill="1" applyBorder="1" applyAlignment="1" applyProtection="1">
      <alignment horizontal="right" vertical="center"/>
    </xf>
    <xf numFmtId="0" fontId="32" fillId="0" borderId="0" xfId="34" applyFont="1" applyFill="1" applyBorder="1" applyAlignment="1">
      <alignment vertical="center"/>
    </xf>
    <xf numFmtId="49" fontId="31" fillId="0" borderId="0" xfId="34" applyNumberFormat="1" applyFont="1" applyFill="1" applyBorder="1" applyAlignment="1" applyProtection="1">
      <alignment vertical="center"/>
    </xf>
    <xf numFmtId="2" fontId="27" fillId="0" borderId="0" xfId="34" applyNumberFormat="1" applyFont="1" applyFill="1" applyBorder="1" applyAlignment="1" applyProtection="1">
      <alignment vertical="center"/>
    </xf>
    <xf numFmtId="168" fontId="26" fillId="0" borderId="0" xfId="34" applyNumberFormat="1" applyFont="1" applyFill="1" applyBorder="1" applyAlignment="1" applyProtection="1">
      <alignment horizontal="center" vertical="center"/>
    </xf>
    <xf numFmtId="172" fontId="26" fillId="0" borderId="0" xfId="34" applyNumberFormat="1" applyFont="1" applyFill="1" applyBorder="1" applyAlignment="1" applyProtection="1">
      <alignment horizontal="center" vertical="center"/>
    </xf>
    <xf numFmtId="1" fontId="26" fillId="19" borderId="0" xfId="34" applyNumberFormat="1" applyFont="1" applyFill="1" applyBorder="1" applyAlignment="1" applyProtection="1">
      <alignment horizontal="left" vertical="center"/>
    </xf>
    <xf numFmtId="44" fontId="33" fillId="19" borderId="0" xfId="37" applyNumberFormat="1" applyFont="1" applyFill="1" applyBorder="1" applyAlignment="1" applyProtection="1">
      <alignment vertical="center"/>
    </xf>
    <xf numFmtId="168" fontId="26" fillId="19" borderId="0" xfId="34" applyNumberFormat="1" applyFont="1" applyFill="1" applyBorder="1" applyAlignment="1" applyProtection="1">
      <alignment horizontal="right" vertical="center"/>
    </xf>
    <xf numFmtId="1" fontId="26" fillId="20" borderId="0" xfId="34" applyNumberFormat="1" applyFont="1" applyFill="1" applyBorder="1" applyAlignment="1" applyProtection="1">
      <alignment horizontal="left" vertical="center"/>
    </xf>
    <xf numFmtId="49" fontId="32" fillId="20" borderId="0" xfId="34" applyNumberFormat="1" applyFont="1" applyFill="1" applyBorder="1" applyAlignment="1" applyProtection="1">
      <alignment horizontal="left" vertical="center"/>
    </xf>
    <xf numFmtId="49" fontId="37" fillId="20" borderId="0" xfId="34" applyNumberFormat="1" applyFont="1" applyFill="1" applyBorder="1" applyAlignment="1" applyProtection="1">
      <alignment horizontal="left" vertical="center"/>
    </xf>
    <xf numFmtId="2" fontId="33" fillId="20" borderId="0" xfId="34" applyNumberFormat="1" applyFont="1" applyFill="1" applyBorder="1" applyAlignment="1" applyProtection="1">
      <alignment vertical="center"/>
    </xf>
    <xf numFmtId="0" fontId="33" fillId="20" borderId="0" xfId="34" applyNumberFormat="1" applyFont="1" applyFill="1" applyBorder="1" applyAlignment="1" applyProtection="1">
      <alignment horizontal="center" vertical="center"/>
    </xf>
    <xf numFmtId="0" fontId="33" fillId="20" borderId="0" xfId="34" applyNumberFormat="1" applyFont="1" applyFill="1" applyBorder="1" applyAlignment="1" applyProtection="1">
      <alignment vertical="center"/>
    </xf>
    <xf numFmtId="44" fontId="33" fillId="20" borderId="0" xfId="37" applyNumberFormat="1" applyFont="1" applyFill="1" applyBorder="1" applyAlignment="1" applyProtection="1">
      <alignment vertical="center"/>
    </xf>
    <xf numFmtId="44" fontId="33" fillId="20" borderId="0" xfId="37" applyNumberFormat="1" applyFont="1" applyFill="1" applyBorder="1" applyAlignment="1" applyProtection="1">
      <alignment horizontal="right" vertical="center"/>
    </xf>
    <xf numFmtId="168" fontId="26" fillId="20" borderId="0" xfId="34" applyNumberFormat="1" applyFont="1" applyFill="1" applyBorder="1" applyAlignment="1" applyProtection="1">
      <alignment horizontal="right" vertical="center"/>
    </xf>
    <xf numFmtId="172" fontId="26" fillId="20" borderId="0" xfId="34" applyNumberFormat="1" applyFont="1" applyFill="1" applyBorder="1" applyAlignment="1" applyProtection="1">
      <alignment horizontal="right" vertical="center"/>
    </xf>
    <xf numFmtId="1" fontId="26" fillId="0" borderId="0" xfId="34" applyNumberFormat="1" applyFont="1" applyFill="1" applyBorder="1" applyAlignment="1" applyProtection="1">
      <alignment vertical="center"/>
    </xf>
    <xf numFmtId="0" fontId="32" fillId="0" borderId="0" xfId="34" applyNumberFormat="1" applyFont="1" applyFill="1" applyBorder="1" applyAlignment="1" applyProtection="1">
      <alignment vertical="center"/>
    </xf>
    <xf numFmtId="0" fontId="25" fillId="0" borderId="0" xfId="34" applyNumberFormat="1" applyFont="1" applyFill="1" applyBorder="1" applyAlignment="1" applyProtection="1">
      <alignment vertical="center"/>
    </xf>
    <xf numFmtId="2" fontId="32" fillId="0" borderId="0" xfId="34" applyNumberFormat="1" applyFont="1" applyFill="1" applyBorder="1" applyAlignment="1" applyProtection="1">
      <alignment vertical="center" wrapText="1"/>
    </xf>
    <xf numFmtId="0" fontId="32" fillId="0" borderId="0" xfId="34" applyNumberFormat="1" applyFont="1" applyFill="1" applyBorder="1" applyAlignment="1" applyProtection="1">
      <alignment horizontal="center" vertical="center"/>
    </xf>
    <xf numFmtId="44" fontId="32" fillId="0" borderId="0" xfId="37" applyNumberFormat="1" applyFont="1" applyFill="1" applyBorder="1" applyAlignment="1" applyProtection="1">
      <alignment vertical="center" shrinkToFit="1"/>
    </xf>
    <xf numFmtId="168" fontId="27" fillId="0" borderId="0" xfId="34" applyNumberFormat="1" applyFont="1" applyFill="1" applyBorder="1" applyAlignment="1" applyProtection="1">
      <alignment vertical="center"/>
    </xf>
    <xf numFmtId="172" fontId="27" fillId="0" borderId="0" xfId="34" applyNumberFormat="1" applyFont="1" applyFill="1" applyBorder="1" applyAlignment="1" applyProtection="1">
      <alignment vertical="center"/>
    </xf>
    <xf numFmtId="1" fontId="26" fillId="0" borderId="0" xfId="34" applyNumberFormat="1" applyFont="1" applyBorder="1" applyAlignment="1">
      <alignment vertical="center"/>
    </xf>
    <xf numFmtId="2" fontId="32" fillId="0" borderId="0" xfId="34" applyNumberFormat="1" applyFont="1" applyBorder="1" applyAlignment="1">
      <alignment vertical="center" wrapText="1"/>
    </xf>
    <xf numFmtId="0" fontId="32" fillId="0" borderId="0" xfId="34" applyFont="1" applyBorder="1" applyAlignment="1">
      <alignment horizontal="center" vertical="center"/>
    </xf>
    <xf numFmtId="44" fontId="32" fillId="0" borderId="0" xfId="37" applyNumberFormat="1" applyFont="1" applyBorder="1" applyAlignment="1">
      <alignment vertical="center" shrinkToFit="1"/>
    </xf>
    <xf numFmtId="44" fontId="32" fillId="0" borderId="0" xfId="37" applyNumberFormat="1" applyFont="1" applyBorder="1" applyAlignment="1">
      <alignment vertical="center"/>
    </xf>
    <xf numFmtId="168" fontId="27" fillId="0" borderId="0" xfId="34" applyNumberFormat="1" applyFont="1" applyBorder="1" applyAlignment="1">
      <alignment vertical="center"/>
    </xf>
    <xf numFmtId="172" fontId="27" fillId="0" borderId="0" xfId="34" applyNumberFormat="1" applyFont="1" applyBorder="1" applyAlignment="1">
      <alignment vertical="center"/>
    </xf>
    <xf numFmtId="167" fontId="54" fillId="0" borderId="0" xfId="23" applyNumberFormat="1" applyFont="1" applyAlignment="1">
      <alignment vertical="center"/>
    </xf>
    <xf numFmtId="2" fontId="37" fillId="19" borderId="0" xfId="34" applyNumberFormat="1" applyFont="1" applyFill="1" applyBorder="1" applyAlignment="1" applyProtection="1">
      <alignment horizontal="left" vertical="center"/>
    </xf>
    <xf numFmtId="1" fontId="57" fillId="0" borderId="0" xfId="34" applyNumberFormat="1" applyFont="1" applyFill="1" applyBorder="1" applyAlignment="1" applyProtection="1">
      <alignment horizontal="left" vertical="center"/>
    </xf>
    <xf numFmtId="49" fontId="55" fillId="0" borderId="0" xfId="34" applyNumberFormat="1" applyFont="1" applyFill="1" applyBorder="1" applyAlignment="1" applyProtection="1">
      <alignment horizontal="left" vertical="center"/>
    </xf>
    <xf numFmtId="44" fontId="55" fillId="0" borderId="0" xfId="37" applyNumberFormat="1" applyFont="1" applyFill="1" applyBorder="1" applyAlignment="1" applyProtection="1">
      <alignment horizontal="left" vertical="center" shrinkToFit="1"/>
    </xf>
    <xf numFmtId="44" fontId="55" fillId="0" borderId="0" xfId="37" applyNumberFormat="1" applyFont="1" applyFill="1" applyBorder="1" applyAlignment="1" applyProtection="1">
      <alignment horizontal="right" vertical="center"/>
    </xf>
    <xf numFmtId="168" fontId="55" fillId="0" borderId="0" xfId="34" applyNumberFormat="1" applyFont="1" applyFill="1" applyBorder="1" applyAlignment="1" applyProtection="1">
      <alignment horizontal="right" vertical="center"/>
    </xf>
    <xf numFmtId="172" fontId="55" fillId="0" borderId="0" xfId="34" applyNumberFormat="1" applyFont="1" applyFill="1" applyBorder="1" applyAlignment="1" applyProtection="1">
      <alignment horizontal="right" vertical="center"/>
    </xf>
    <xf numFmtId="4" fontId="59" fillId="0" borderId="0" xfId="0" applyNumberFormat="1" applyFont="1" applyFill="1" applyBorder="1" applyAlignment="1" applyProtection="1">
      <alignment horizontal="right" vertical="center"/>
    </xf>
    <xf numFmtId="174" fontId="4" fillId="0" borderId="20" xfId="24" applyNumberFormat="1" applyFont="1" applyFill="1" applyBorder="1" applyAlignment="1" applyProtection="1">
      <alignment vertical="center"/>
    </xf>
    <xf numFmtId="174" fontId="4" fillId="0" borderId="27" xfId="24" applyNumberFormat="1" applyFont="1" applyFill="1" applyBorder="1" applyAlignment="1" applyProtection="1">
      <alignment vertical="center"/>
    </xf>
    <xf numFmtId="174" fontId="4" fillId="0" borderId="35" xfId="24" applyNumberFormat="1" applyFont="1" applyFill="1" applyBorder="1" applyAlignment="1" applyProtection="1">
      <alignment vertical="center"/>
    </xf>
    <xf numFmtId="0" fontId="60" fillId="0" borderId="0" xfId="0" applyFont="1" applyBorder="1" applyAlignment="1">
      <alignment horizontal="center" vertical="center"/>
    </xf>
    <xf numFmtId="0" fontId="60" fillId="0" borderId="0" xfId="0" applyFont="1" applyBorder="1" applyAlignment="1">
      <alignment horizontal="left" vertical="center" indent="1"/>
    </xf>
    <xf numFmtId="0" fontId="60" fillId="0" borderId="0" xfId="0" applyFont="1" applyBorder="1" applyAlignment="1">
      <alignment vertical="center"/>
    </xf>
    <xf numFmtId="167" fontId="60" fillId="0" borderId="0" xfId="23" applyNumberFormat="1" applyFont="1" applyBorder="1" applyAlignment="1">
      <alignment vertical="center"/>
    </xf>
    <xf numFmtId="49" fontId="55" fillId="0" borderId="0" xfId="34" applyNumberFormat="1" applyFont="1" applyFill="1" applyBorder="1" applyAlignment="1" applyProtection="1">
      <alignment horizontal="right" vertical="center"/>
    </xf>
    <xf numFmtId="0" fontId="55" fillId="0" borderId="0" xfId="34" applyFont="1" applyFill="1" applyBorder="1" applyAlignment="1">
      <alignment vertical="center"/>
    </xf>
    <xf numFmtId="49" fontId="56" fillId="0" borderId="0" xfId="34" applyNumberFormat="1" applyFont="1" applyFill="1" applyBorder="1" applyAlignment="1" applyProtection="1">
      <alignment horizontal="right" vertical="center"/>
    </xf>
    <xf numFmtId="0" fontId="56" fillId="0" borderId="0" xfId="34" applyFont="1" applyFill="1" applyBorder="1" applyAlignment="1">
      <alignment vertical="center"/>
    </xf>
    <xf numFmtId="2" fontId="34" fillId="0" borderId="0" xfId="34" applyNumberFormat="1" applyFont="1" applyBorder="1" applyAlignment="1">
      <alignment vertical="center" wrapText="1"/>
    </xf>
    <xf numFmtId="2" fontId="32" fillId="0" borderId="0" xfId="34" applyNumberFormat="1" applyFont="1" applyBorder="1" applyAlignment="1">
      <alignment horizontal="center" vertical="center"/>
    </xf>
    <xf numFmtId="1" fontId="61" fillId="0" borderId="0" xfId="34" applyNumberFormat="1" applyFont="1" applyFill="1" applyBorder="1" applyAlignment="1" applyProtection="1">
      <alignment horizontal="left" vertical="center"/>
    </xf>
    <xf numFmtId="49" fontId="56" fillId="0" borderId="0" xfId="34" applyNumberFormat="1" applyFont="1" applyFill="1" applyBorder="1" applyAlignment="1" applyProtection="1">
      <alignment horizontal="left" vertical="center"/>
    </xf>
    <xf numFmtId="49" fontId="56" fillId="0" borderId="0" xfId="34" applyNumberFormat="1" applyFont="1" applyFill="1" applyBorder="1" applyAlignment="1" applyProtection="1">
      <alignment horizontal="center" vertical="center"/>
    </xf>
    <xf numFmtId="44" fontId="56" fillId="0" borderId="0" xfId="37" applyNumberFormat="1" applyFont="1" applyFill="1" applyBorder="1" applyAlignment="1" applyProtection="1">
      <alignment horizontal="right" vertical="center" shrinkToFit="1"/>
    </xf>
    <xf numFmtId="44" fontId="56" fillId="0" borderId="0" xfId="37" applyNumberFormat="1" applyFont="1" applyFill="1" applyBorder="1" applyAlignment="1" applyProtection="1">
      <alignment horizontal="right" vertical="center"/>
    </xf>
    <xf numFmtId="168" fontId="56" fillId="0" borderId="0" xfId="34" applyNumberFormat="1" applyFont="1" applyFill="1" applyBorder="1" applyAlignment="1" applyProtection="1">
      <alignment horizontal="right" vertical="center"/>
    </xf>
    <xf numFmtId="172" fontId="56" fillId="0" borderId="0" xfId="34" applyNumberFormat="1" applyFont="1" applyFill="1" applyBorder="1" applyAlignment="1" applyProtection="1">
      <alignment horizontal="right" vertical="center"/>
    </xf>
    <xf numFmtId="0" fontId="62" fillId="0" borderId="0" xfId="20" applyFont="1" applyFill="1" applyBorder="1" applyAlignment="1" applyProtection="1">
      <alignment vertical="center" wrapText="1"/>
    </xf>
    <xf numFmtId="2" fontId="56" fillId="0" borderId="0" xfId="34" applyNumberFormat="1" applyFont="1" applyFill="1" applyBorder="1" applyAlignment="1" applyProtection="1">
      <alignment horizontal="left" vertical="center"/>
    </xf>
    <xf numFmtId="49" fontId="58" fillId="0" borderId="0" xfId="34" applyNumberFormat="1" applyFont="1" applyFill="1" applyBorder="1" applyAlignment="1" applyProtection="1">
      <alignment horizontal="right" vertical="center"/>
    </xf>
    <xf numFmtId="44" fontId="58" fillId="0" borderId="0" xfId="37" applyNumberFormat="1" applyFont="1" applyFill="1" applyBorder="1" applyAlignment="1" applyProtection="1">
      <alignment horizontal="right" vertical="center"/>
    </xf>
    <xf numFmtId="172" fontId="58" fillId="0" borderId="0" xfId="34" applyNumberFormat="1" applyFont="1" applyFill="1" applyBorder="1" applyAlignment="1" applyProtection="1">
      <alignment horizontal="right" vertical="center"/>
    </xf>
    <xf numFmtId="0" fontId="58" fillId="0" borderId="0" xfId="34" applyFont="1" applyFill="1" applyBorder="1" applyAlignment="1">
      <alignment vertical="center"/>
    </xf>
    <xf numFmtId="49" fontId="7" fillId="0" borderId="28" xfId="33" applyNumberFormat="1" applyFont="1" applyFill="1" applyBorder="1" applyAlignment="1" applyProtection="1">
      <alignment horizontal="center" vertical="center"/>
    </xf>
    <xf numFmtId="0" fontId="32" fillId="0" borderId="0" xfId="52" applyFont="1" applyBorder="1" applyAlignment="1">
      <alignment vertical="center"/>
    </xf>
    <xf numFmtId="0" fontId="32" fillId="0" borderId="0" xfId="52" applyFont="1" applyFill="1" applyBorder="1" applyAlignment="1">
      <alignment vertical="center"/>
    </xf>
    <xf numFmtId="172" fontId="27" fillId="0" borderId="0" xfId="52" applyNumberFormat="1" applyFont="1" applyFill="1" applyBorder="1" applyAlignment="1" applyProtection="1">
      <alignment horizontal="right" vertical="center"/>
    </xf>
    <xf numFmtId="44" fontId="32" fillId="0" borderId="0" xfId="53" applyNumberFormat="1" applyFont="1" applyFill="1" applyBorder="1" applyAlignment="1" applyProtection="1">
      <alignment horizontal="right" vertical="center"/>
    </xf>
    <xf numFmtId="4" fontId="32" fillId="0" borderId="0" xfId="52" applyNumberFormat="1" applyFont="1" applyFill="1" applyBorder="1" applyAlignment="1" applyProtection="1">
      <alignment horizontal="right" vertical="center"/>
    </xf>
    <xf numFmtId="49" fontId="32" fillId="0" borderId="0" xfId="52" applyNumberFormat="1" applyFont="1" applyFill="1" applyBorder="1" applyAlignment="1" applyProtection="1">
      <alignment horizontal="center" vertical="center"/>
    </xf>
    <xf numFmtId="2" fontId="25" fillId="0" borderId="0" xfId="52" applyNumberFormat="1" applyFont="1" applyFill="1" applyBorder="1" applyAlignment="1" applyProtection="1">
      <alignment horizontal="left" vertical="center"/>
    </xf>
    <xf numFmtId="49" fontId="32" fillId="0" borderId="0" xfId="52" applyNumberFormat="1" applyFont="1" applyFill="1" applyBorder="1" applyAlignment="1" applyProtection="1">
      <alignment horizontal="left" vertical="center"/>
    </xf>
    <xf numFmtId="1" fontId="26" fillId="0" borderId="0" xfId="52" applyNumberFormat="1" applyFont="1" applyFill="1" applyBorder="1" applyAlignment="1" applyProtection="1">
      <alignment horizontal="left" vertical="center"/>
    </xf>
    <xf numFmtId="172" fontId="55" fillId="0" borderId="0" xfId="52" applyNumberFormat="1" applyFont="1" applyFill="1" applyBorder="1" applyAlignment="1" applyProtection="1">
      <alignment horizontal="right" vertical="center"/>
    </xf>
    <xf numFmtId="168" fontId="55" fillId="0" borderId="0" xfId="52" applyNumberFormat="1" applyFont="1" applyFill="1" applyBorder="1" applyAlignment="1" applyProtection="1">
      <alignment horizontal="right" vertical="center"/>
    </xf>
    <xf numFmtId="49" fontId="55" fillId="0" borderId="0" xfId="52" applyNumberFormat="1" applyFont="1" applyFill="1" applyBorder="1" applyAlignment="1" applyProtection="1">
      <alignment horizontal="left" vertical="center"/>
    </xf>
    <xf numFmtId="1" fontId="57" fillId="0" borderId="0" xfId="52" applyNumberFormat="1" applyFont="1" applyFill="1" applyBorder="1" applyAlignment="1" applyProtection="1">
      <alignment horizontal="left" vertical="center"/>
    </xf>
    <xf numFmtId="168" fontId="27" fillId="0" borderId="0" xfId="52" applyNumberFormat="1" applyFont="1" applyFill="1" applyBorder="1" applyAlignment="1" applyProtection="1">
      <alignment horizontal="right" vertical="center"/>
    </xf>
    <xf numFmtId="44" fontId="32" fillId="0" borderId="0" xfId="53" applyNumberFormat="1" applyFont="1" applyFill="1" applyBorder="1" applyAlignment="1" applyProtection="1">
      <alignment horizontal="right" vertical="center" shrinkToFit="1"/>
    </xf>
    <xf numFmtId="2" fontId="32" fillId="0" borderId="0" xfId="52" applyNumberFormat="1" applyFont="1" applyFill="1" applyBorder="1" applyAlignment="1" applyProtection="1">
      <alignment horizontal="left" vertical="center" wrapText="1"/>
    </xf>
    <xf numFmtId="49" fontId="25" fillId="0" borderId="0" xfId="52" applyNumberFormat="1" applyFont="1" applyFill="1" applyBorder="1" applyAlignment="1" applyProtection="1">
      <alignment horizontal="left" vertical="center"/>
    </xf>
    <xf numFmtId="0" fontId="55" fillId="0" borderId="0" xfId="52" applyFont="1" applyFill="1" applyBorder="1" applyAlignment="1">
      <alignment vertical="center"/>
    </xf>
    <xf numFmtId="49" fontId="56" fillId="0" borderId="0" xfId="52" applyNumberFormat="1" applyFont="1" applyFill="1" applyBorder="1" applyAlignment="1" applyProtection="1">
      <alignment horizontal="center" vertical="center"/>
    </xf>
    <xf numFmtId="49" fontId="56" fillId="0" borderId="0" xfId="55" applyNumberFormat="1" applyFont="1" applyFill="1" applyBorder="1" applyAlignment="1" applyProtection="1">
      <alignment horizontal="center" vertical="center"/>
    </xf>
    <xf numFmtId="49" fontId="27" fillId="0" borderId="0" xfId="34" applyNumberFormat="1" applyFont="1" applyFill="1" applyBorder="1" applyAlignment="1" applyProtection="1">
      <alignment horizontal="left" vertical="center"/>
    </xf>
    <xf numFmtId="171" fontId="3" fillId="0" borderId="29" xfId="33" applyNumberFormat="1" applyFont="1" applyFill="1" applyBorder="1" applyAlignment="1" applyProtection="1">
      <alignment vertical="center"/>
    </xf>
    <xf numFmtId="2" fontId="56" fillId="0" borderId="0" xfId="34" applyNumberFormat="1" applyFont="1" applyFill="1" applyBorder="1" applyAlignment="1">
      <alignment vertical="center"/>
    </xf>
    <xf numFmtId="1" fontId="37" fillId="0" borderId="29" xfId="34" applyNumberFormat="1" applyFont="1" applyFill="1" applyBorder="1" applyAlignment="1" applyProtection="1">
      <alignment horizontal="left" vertical="center"/>
    </xf>
    <xf numFmtId="49" fontId="37" fillId="0" borderId="31" xfId="34" applyNumberFormat="1" applyFont="1" applyFill="1" applyBorder="1" applyAlignment="1" applyProtection="1">
      <alignment horizontal="left" vertical="center"/>
    </xf>
    <xf numFmtId="2" fontId="37" fillId="0" borderId="31" xfId="34" applyNumberFormat="1" applyFont="1" applyFill="1" applyBorder="1" applyAlignment="1" applyProtection="1">
      <alignment horizontal="left" vertical="center" wrapText="1"/>
    </xf>
    <xf numFmtId="49" fontId="37" fillId="0" borderId="31" xfId="34" applyNumberFormat="1" applyFont="1" applyFill="1" applyBorder="1" applyAlignment="1" applyProtection="1">
      <alignment horizontal="center" vertical="center"/>
    </xf>
    <xf numFmtId="44" fontId="37" fillId="0" borderId="31" xfId="37" applyNumberFormat="1" applyFont="1" applyFill="1" applyBorder="1" applyAlignment="1" applyProtection="1">
      <alignment horizontal="right" vertical="center" shrinkToFit="1"/>
    </xf>
    <xf numFmtId="44" fontId="37" fillId="0" borderId="32" xfId="37" applyNumberFormat="1" applyFont="1" applyFill="1" applyBorder="1" applyAlignment="1" applyProtection="1">
      <alignment horizontal="center" vertical="center"/>
    </xf>
    <xf numFmtId="44" fontId="55" fillId="0" borderId="0" xfId="53" applyNumberFormat="1" applyFont="1" applyFill="1" applyBorder="1" applyAlignment="1" applyProtection="1">
      <alignment horizontal="right" vertical="center" shrinkToFit="1"/>
    </xf>
    <xf numFmtId="44" fontId="55" fillId="0" borderId="0" xfId="53" applyNumberFormat="1" applyFont="1" applyFill="1" applyBorder="1" applyAlignment="1" applyProtection="1">
      <alignment horizontal="right" vertical="center"/>
    </xf>
    <xf numFmtId="4" fontId="55" fillId="0" borderId="0" xfId="52" applyNumberFormat="1" applyFont="1" applyFill="1" applyBorder="1" applyAlignment="1" applyProtection="1">
      <alignment horizontal="left" vertical="center"/>
    </xf>
    <xf numFmtId="2" fontId="56" fillId="0" borderId="0" xfId="52" applyNumberFormat="1" applyFont="1" applyFill="1" applyBorder="1" applyAlignment="1">
      <alignment vertical="center"/>
    </xf>
    <xf numFmtId="2" fontId="58" fillId="0" borderId="0" xfId="52" applyNumberFormat="1" applyFont="1" applyFill="1" applyBorder="1" applyAlignment="1" applyProtection="1">
      <alignment horizontal="right" vertical="center"/>
    </xf>
    <xf numFmtId="44" fontId="33" fillId="19" borderId="0" xfId="53" applyNumberFormat="1" applyFont="1" applyFill="1" applyBorder="1" applyAlignment="1" applyProtection="1">
      <alignment horizontal="right" vertical="center"/>
    </xf>
    <xf numFmtId="168" fontId="26" fillId="19" borderId="0" xfId="52" applyNumberFormat="1" applyFont="1" applyFill="1" applyBorder="1" applyAlignment="1" applyProtection="1">
      <alignment horizontal="right" vertical="center"/>
    </xf>
    <xf numFmtId="172" fontId="26" fillId="19" borderId="0" xfId="52" applyNumberFormat="1" applyFont="1" applyFill="1" applyBorder="1" applyAlignment="1" applyProtection="1">
      <alignment horizontal="right" vertical="center"/>
    </xf>
    <xf numFmtId="0" fontId="0" fillId="0" borderId="0" xfId="33" applyFont="1" applyAlignment="1">
      <alignment vertical="center"/>
    </xf>
    <xf numFmtId="0" fontId="26" fillId="0" borderId="22" xfId="0" applyFont="1" applyBorder="1" applyAlignment="1">
      <alignment horizontal="left" vertical="center" indent="1"/>
    </xf>
    <xf numFmtId="0" fontId="26" fillId="0" borderId="0" xfId="0" applyFont="1" applyBorder="1" applyAlignment="1">
      <alignment horizontal="center" vertical="center"/>
    </xf>
    <xf numFmtId="0" fontId="26" fillId="0" borderId="0" xfId="0" applyFont="1" applyBorder="1" applyAlignment="1">
      <alignment vertical="center"/>
    </xf>
    <xf numFmtId="167" fontId="26" fillId="0" borderId="0" xfId="23" applyNumberFormat="1" applyFont="1" applyBorder="1" applyAlignment="1">
      <alignment vertical="center"/>
    </xf>
    <xf numFmtId="167" fontId="35" fillId="0" borderId="21" xfId="23" applyNumberFormat="1" applyFont="1" applyBorder="1" applyAlignment="1">
      <alignment vertical="center"/>
    </xf>
    <xf numFmtId="1" fontId="26" fillId="19" borderId="0" xfId="52" applyNumberFormat="1" applyFont="1" applyFill="1" applyBorder="1" applyAlignment="1" applyProtection="1">
      <alignment horizontal="left" vertical="center"/>
    </xf>
    <xf numFmtId="49" fontId="32" fillId="19" borderId="0" xfId="52" applyNumberFormat="1" applyFont="1" applyFill="1" applyBorder="1" applyAlignment="1" applyProtection="1">
      <alignment horizontal="left" vertical="center"/>
    </xf>
    <xf numFmtId="49" fontId="37" fillId="19" borderId="0" xfId="52" applyNumberFormat="1" applyFont="1" applyFill="1" applyBorder="1" applyAlignment="1" applyProtection="1">
      <alignment horizontal="left" vertical="center"/>
    </xf>
    <xf numFmtId="2" fontId="33" fillId="19" borderId="0" xfId="52" applyNumberFormat="1" applyFont="1" applyFill="1" applyBorder="1" applyAlignment="1" applyProtection="1">
      <alignment vertical="center"/>
    </xf>
    <xf numFmtId="0" fontId="33" fillId="19" borderId="0" xfId="52" applyNumberFormat="1" applyFont="1" applyFill="1" applyBorder="1" applyAlignment="1" applyProtection="1">
      <alignment horizontal="center" vertical="center"/>
    </xf>
    <xf numFmtId="0" fontId="33" fillId="19" borderId="0" xfId="52" applyNumberFormat="1" applyFont="1" applyFill="1" applyBorder="1" applyAlignment="1" applyProtection="1">
      <alignment vertical="center"/>
    </xf>
    <xf numFmtId="44" fontId="33" fillId="19" borderId="0" xfId="53" applyNumberFormat="1" applyFont="1" applyFill="1" applyBorder="1" applyAlignment="1" applyProtection="1">
      <alignment vertical="center"/>
    </xf>
    <xf numFmtId="1" fontId="61" fillId="0" borderId="0" xfId="52" applyNumberFormat="1" applyFont="1" applyFill="1" applyBorder="1" applyAlignment="1" applyProtection="1">
      <alignment horizontal="left" vertical="center"/>
    </xf>
    <xf numFmtId="49" fontId="56" fillId="0" borderId="0" xfId="52" applyNumberFormat="1" applyFont="1" applyFill="1" applyBorder="1" applyAlignment="1" applyProtection="1">
      <alignment horizontal="left" vertical="center"/>
    </xf>
    <xf numFmtId="1" fontId="56" fillId="0" borderId="0" xfId="52" applyNumberFormat="1" applyFont="1" applyFill="1" applyBorder="1" applyAlignment="1" applyProtection="1">
      <alignment horizontal="left" vertical="center"/>
    </xf>
    <xf numFmtId="4" fontId="56" fillId="0" borderId="0" xfId="52" applyNumberFormat="1" applyFont="1" applyFill="1" applyBorder="1" applyAlignment="1" applyProtection="1">
      <alignment horizontal="right" vertical="center"/>
    </xf>
    <xf numFmtId="44" fontId="56" fillId="0" borderId="0" xfId="53" applyNumberFormat="1" applyFont="1" applyFill="1" applyBorder="1" applyAlignment="1" applyProtection="1">
      <alignment horizontal="right" vertical="center" shrinkToFit="1"/>
    </xf>
    <xf numFmtId="168" fontId="56" fillId="0" borderId="0" xfId="52" applyNumberFormat="1" applyFont="1" applyFill="1" applyBorder="1" applyAlignment="1" applyProtection="1">
      <alignment horizontal="right" vertical="center"/>
    </xf>
    <xf numFmtId="172" fontId="56" fillId="0" borderId="0" xfId="52" applyNumberFormat="1" applyFont="1" applyFill="1" applyBorder="1" applyAlignment="1" applyProtection="1">
      <alignment horizontal="right" vertical="center"/>
    </xf>
    <xf numFmtId="0" fontId="56" fillId="0" borderId="0" xfId="52" applyFont="1" applyFill="1" applyBorder="1" applyAlignment="1">
      <alignment vertical="center"/>
    </xf>
    <xf numFmtId="49" fontId="56" fillId="0" borderId="0" xfId="52" applyNumberFormat="1" applyFont="1" applyFill="1" applyBorder="1" applyAlignment="1" applyProtection="1">
      <alignment horizontal="right" vertical="center"/>
    </xf>
    <xf numFmtId="2" fontId="32" fillId="0" borderId="0" xfId="52" applyNumberFormat="1" applyFont="1" applyFill="1" applyBorder="1" applyAlignment="1" applyProtection="1">
      <alignment horizontal="left" vertical="center"/>
    </xf>
    <xf numFmtId="0" fontId="35" fillId="0" borderId="10" xfId="0" applyFont="1" applyBorder="1" applyAlignment="1">
      <alignment horizontal="left" vertical="center" indent="1"/>
    </xf>
    <xf numFmtId="0" fontId="35" fillId="0" borderId="11" xfId="0" applyFont="1" applyBorder="1" applyAlignment="1">
      <alignment horizontal="center" vertical="center"/>
    </xf>
    <xf numFmtId="0" fontId="35" fillId="0" borderId="11" xfId="0" applyFont="1" applyBorder="1" applyAlignment="1">
      <alignment vertical="center"/>
    </xf>
    <xf numFmtId="167" fontId="35" fillId="0" borderId="11" xfId="23" applyNumberFormat="1" applyFont="1" applyBorder="1" applyAlignment="1">
      <alignment vertical="center"/>
    </xf>
    <xf numFmtId="167" fontId="36" fillId="0" borderId="12" xfId="23" applyNumberFormat="1" applyFont="1" applyBorder="1" applyAlignment="1">
      <alignment vertical="center"/>
    </xf>
    <xf numFmtId="44" fontId="65" fillId="0" borderId="0" xfId="37" applyNumberFormat="1" applyFont="1" applyFill="1" applyBorder="1" applyAlignment="1" applyProtection="1">
      <alignment horizontal="right" vertical="center"/>
    </xf>
    <xf numFmtId="44" fontId="65" fillId="0" borderId="0" xfId="37" applyNumberFormat="1" applyFont="1" applyBorder="1" applyAlignment="1">
      <alignment vertical="center"/>
    </xf>
    <xf numFmtId="9" fontId="6" fillId="0" borderId="28" xfId="36" applyFont="1" applyFill="1" applyBorder="1" applyAlignment="1" applyProtection="1">
      <alignment horizontal="right" vertical="center"/>
    </xf>
    <xf numFmtId="176" fontId="27" fillId="0" borderId="0" xfId="52" applyNumberFormat="1" applyFont="1" applyFill="1" applyBorder="1" applyAlignment="1" applyProtection="1">
      <alignment horizontal="right" vertical="center"/>
    </xf>
    <xf numFmtId="2" fontId="56" fillId="0" borderId="0" xfId="52" applyNumberFormat="1" applyFont="1" applyFill="1" applyBorder="1" applyAlignment="1" applyProtection="1">
      <alignment horizontal="right" vertical="center" wrapText="1"/>
    </xf>
    <xf numFmtId="44" fontId="56" fillId="0" borderId="0" xfId="53" applyNumberFormat="1" applyFont="1" applyFill="1" applyBorder="1" applyAlignment="1" applyProtection="1">
      <alignment horizontal="right" vertical="center"/>
    </xf>
    <xf numFmtId="2" fontId="32" fillId="0" borderId="0" xfId="52" applyNumberFormat="1" applyFont="1" applyFill="1" applyBorder="1" applyAlignment="1">
      <alignment vertical="center"/>
    </xf>
    <xf numFmtId="2" fontId="32" fillId="0" borderId="0" xfId="52" applyNumberFormat="1" applyFont="1" applyFill="1" applyBorder="1" applyAlignment="1" applyProtection="1">
      <alignment vertical="center"/>
    </xf>
    <xf numFmtId="175" fontId="25" fillId="0" borderId="0" xfId="52" applyNumberFormat="1" applyFont="1" applyFill="1" applyBorder="1" applyAlignment="1" applyProtection="1">
      <alignment horizontal="right" vertical="center"/>
    </xf>
    <xf numFmtId="172" fontId="25" fillId="0" borderId="0" xfId="52" applyNumberFormat="1" applyFont="1" applyFill="1" applyBorder="1" applyAlignment="1" applyProtection="1">
      <alignment horizontal="right" vertical="center"/>
    </xf>
    <xf numFmtId="175" fontId="55" fillId="0" borderId="0" xfId="52" applyNumberFormat="1" applyFont="1" applyFill="1" applyBorder="1" applyAlignment="1" applyProtection="1">
      <alignment horizontal="right" vertical="center"/>
    </xf>
    <xf numFmtId="2" fontId="56" fillId="0" borderId="0" xfId="52" applyNumberFormat="1" applyFont="1" applyFill="1" applyBorder="1" applyAlignment="1" applyProtection="1">
      <alignment horizontal="left" vertical="center"/>
    </xf>
    <xf numFmtId="169" fontId="66" fillId="0" borderId="0" xfId="34" applyNumberFormat="1" applyFont="1" applyFill="1" applyBorder="1" applyAlignment="1" applyProtection="1">
      <alignment horizontal="right" vertical="center"/>
    </xf>
    <xf numFmtId="2" fontId="58" fillId="0" borderId="0" xfId="52" applyNumberFormat="1" applyFont="1" applyFill="1" applyBorder="1" applyAlignment="1" applyProtection="1">
      <alignment horizontal="right" vertical="center" wrapText="1"/>
    </xf>
    <xf numFmtId="1" fontId="67" fillId="0" borderId="0" xfId="52" applyNumberFormat="1" applyFont="1" applyFill="1" applyBorder="1" applyAlignment="1" applyProtection="1">
      <alignment horizontal="left" vertical="center"/>
    </xf>
    <xf numFmtId="49" fontId="58" fillId="0" borderId="0" xfId="34" applyNumberFormat="1" applyFont="1" applyFill="1" applyBorder="1" applyAlignment="1" applyProtection="1">
      <alignment horizontal="center" vertical="center"/>
    </xf>
    <xf numFmtId="2" fontId="58" fillId="0" borderId="0" xfId="55" applyNumberFormat="1" applyFont="1" applyFill="1" applyBorder="1" applyAlignment="1" applyProtection="1">
      <alignment horizontal="right" vertical="center" wrapText="1"/>
    </xf>
    <xf numFmtId="44" fontId="68" fillId="0" borderId="0" xfId="37" applyNumberFormat="1" applyFont="1" applyFill="1" applyBorder="1" applyAlignment="1" applyProtection="1">
      <alignment horizontal="right" vertical="center" shrinkToFit="1"/>
    </xf>
    <xf numFmtId="175" fontId="58" fillId="0" borderId="0" xfId="34" applyNumberFormat="1" applyFont="1" applyFill="1" applyBorder="1" applyAlignment="1" applyProtection="1">
      <alignment horizontal="right" vertical="center"/>
    </xf>
    <xf numFmtId="167" fontId="69" fillId="0" borderId="0" xfId="23" applyNumberFormat="1" applyFont="1" applyAlignment="1">
      <alignment vertical="center"/>
    </xf>
    <xf numFmtId="49" fontId="58" fillId="0" borderId="0" xfId="52" applyNumberFormat="1" applyFont="1" applyFill="1" applyBorder="1" applyAlignment="1" applyProtection="1">
      <alignment horizontal="right" vertical="center"/>
    </xf>
    <xf numFmtId="2" fontId="70" fillId="0" borderId="0" xfId="52" applyNumberFormat="1" applyFont="1" applyFill="1" applyBorder="1" applyAlignment="1" applyProtection="1">
      <alignment horizontal="right" vertical="center"/>
    </xf>
    <xf numFmtId="4" fontId="56" fillId="0" borderId="0" xfId="52" applyNumberFormat="1" applyFont="1" applyFill="1" applyBorder="1" applyAlignment="1" applyProtection="1">
      <alignment horizontal="left" vertical="center"/>
    </xf>
    <xf numFmtId="10" fontId="32" fillId="0" borderId="0" xfId="53" applyNumberFormat="1" applyFont="1" applyFill="1" applyBorder="1" applyAlignment="1" applyProtection="1">
      <alignment horizontal="right" vertical="center"/>
    </xf>
    <xf numFmtId="0" fontId="27" fillId="0" borderId="0" xfId="52" applyFont="1" applyBorder="1" applyAlignment="1">
      <alignment vertical="center"/>
    </xf>
    <xf numFmtId="0" fontId="71" fillId="0" borderId="0" xfId="0" applyFont="1" applyAlignment="1">
      <alignment vertical="center"/>
    </xf>
    <xf numFmtId="0" fontId="32" fillId="0" borderId="0" xfId="0" applyFont="1" applyAlignment="1">
      <alignment horizontal="center" vertical="center"/>
    </xf>
    <xf numFmtId="0" fontId="32" fillId="0" borderId="0" xfId="0" applyFont="1" applyAlignment="1">
      <alignment vertical="center"/>
    </xf>
    <xf numFmtId="167" fontId="32" fillId="0" borderId="0" xfId="23" applyNumberFormat="1" applyFont="1" applyAlignment="1">
      <alignment vertical="center"/>
    </xf>
    <xf numFmtId="0" fontId="27" fillId="0" borderId="0" xfId="0" applyFont="1" applyAlignment="1">
      <alignment horizontal="right" vertical="center"/>
    </xf>
    <xf numFmtId="0" fontId="72" fillId="0" borderId="0" xfId="0" applyFont="1" applyAlignment="1">
      <alignment horizontal="center" vertical="center"/>
    </xf>
    <xf numFmtId="0" fontId="72" fillId="0" borderId="0" xfId="0" applyFont="1" applyBorder="1" applyAlignment="1">
      <alignment horizontal="left" vertical="center" indent="1"/>
    </xf>
    <xf numFmtId="0" fontId="72" fillId="0" borderId="0" xfId="0" applyFont="1" applyBorder="1" applyAlignment="1">
      <alignment horizontal="center" vertical="center"/>
    </xf>
    <xf numFmtId="167" fontId="72" fillId="0" borderId="0" xfId="0" applyNumberFormat="1" applyFont="1" applyFill="1" applyBorder="1" applyAlignment="1">
      <alignment horizontal="center" vertical="center"/>
    </xf>
    <xf numFmtId="167" fontId="72" fillId="0" borderId="0" xfId="23" applyNumberFormat="1" applyFont="1" applyBorder="1" applyAlignment="1">
      <alignment horizontal="center" vertical="center"/>
    </xf>
    <xf numFmtId="0" fontId="72" fillId="0" borderId="0" xfId="0" applyFont="1" applyAlignment="1">
      <alignment vertical="center"/>
    </xf>
    <xf numFmtId="167" fontId="72" fillId="0" borderId="0" xfId="23" applyNumberFormat="1" applyFont="1" applyAlignment="1">
      <alignment vertical="center"/>
    </xf>
    <xf numFmtId="0" fontId="32" fillId="0" borderId="0" xfId="0" applyFont="1" applyAlignment="1">
      <alignment horizontal="left" vertical="center" indent="1"/>
    </xf>
    <xf numFmtId="167" fontId="36" fillId="0" borderId="0" xfId="23" applyNumberFormat="1" applyFont="1" applyAlignment="1">
      <alignment vertical="center"/>
    </xf>
    <xf numFmtId="0" fontId="25" fillId="0" borderId="0" xfId="0" applyFont="1" applyAlignment="1">
      <alignment vertical="center"/>
    </xf>
    <xf numFmtId="0" fontId="34" fillId="0" borderId="0" xfId="0" applyFont="1" applyAlignment="1">
      <alignment horizontal="center" vertical="center"/>
    </xf>
    <xf numFmtId="0" fontId="34" fillId="0" borderId="0" xfId="0" applyFont="1" applyAlignment="1">
      <alignment vertical="center"/>
    </xf>
    <xf numFmtId="167" fontId="34" fillId="0" borderId="0" xfId="23" applyNumberFormat="1" applyFont="1" applyAlignment="1">
      <alignment vertical="center"/>
    </xf>
    <xf numFmtId="0" fontId="64" fillId="21" borderId="0" xfId="51" applyNumberFormat="1" applyFont="1" applyFill="1" applyAlignment="1" applyProtection="1">
      <alignment vertical="center"/>
    </xf>
    <xf numFmtId="49" fontId="31" fillId="21" borderId="0" xfId="34" applyNumberFormat="1" applyFont="1" applyFill="1" applyBorder="1" applyAlignment="1" applyProtection="1">
      <alignment vertical="center"/>
    </xf>
    <xf numFmtId="49" fontId="27" fillId="21" borderId="0" xfId="34" applyNumberFormat="1" applyFont="1" applyFill="1" applyBorder="1" applyAlignment="1" applyProtection="1">
      <alignment horizontal="right" vertical="center"/>
    </xf>
    <xf numFmtId="2" fontId="56" fillId="0" borderId="0" xfId="34" applyNumberFormat="1" applyFont="1" applyFill="1" applyBorder="1" applyAlignment="1">
      <alignment horizontal="right" vertical="center"/>
    </xf>
    <xf numFmtId="44" fontId="34" fillId="0" borderId="0" xfId="53" applyNumberFormat="1" applyFont="1" applyFill="1" applyBorder="1" applyAlignment="1" applyProtection="1">
      <alignment horizontal="right" vertical="center"/>
    </xf>
    <xf numFmtId="1" fontId="74" fillId="0" borderId="0" xfId="52" applyNumberFormat="1" applyFont="1" applyFill="1" applyBorder="1" applyAlignment="1" applyProtection="1">
      <alignment horizontal="right" vertical="center"/>
    </xf>
    <xf numFmtId="49" fontId="75" fillId="0" borderId="0" xfId="52" applyNumberFormat="1" applyFont="1" applyFill="1" applyBorder="1" applyAlignment="1" applyProtection="1">
      <alignment horizontal="left" vertical="center"/>
    </xf>
    <xf numFmtId="49" fontId="67" fillId="0" borderId="0" xfId="52" applyNumberFormat="1" applyFont="1" applyFill="1" applyBorder="1" applyAlignment="1" applyProtection="1">
      <alignment horizontal="right" vertical="center"/>
    </xf>
    <xf numFmtId="177" fontId="75" fillId="0" borderId="0" xfId="52" applyNumberFormat="1" applyFont="1" applyFill="1" applyBorder="1" applyAlignment="1" applyProtection="1">
      <alignment horizontal="left" vertical="center"/>
    </xf>
    <xf numFmtId="49" fontId="75" fillId="0" borderId="0" xfId="52" applyNumberFormat="1" applyFont="1" applyFill="1" applyBorder="1" applyAlignment="1" applyProtection="1">
      <alignment horizontal="center" vertical="center"/>
    </xf>
    <xf numFmtId="4" fontId="75" fillId="0" borderId="0" xfId="52" applyNumberFormat="1" applyFont="1" applyFill="1" applyBorder="1" applyAlignment="1" applyProtection="1">
      <alignment horizontal="right" vertical="center"/>
    </xf>
    <xf numFmtId="44" fontId="75" fillId="0" borderId="0" xfId="53" applyNumberFormat="1" applyFont="1" applyFill="1" applyBorder="1" applyAlignment="1" applyProtection="1">
      <alignment horizontal="right" vertical="center" shrinkToFit="1"/>
    </xf>
    <xf numFmtId="44" fontId="76" fillId="0" borderId="0" xfId="53" applyNumberFormat="1" applyFont="1" applyFill="1" applyBorder="1" applyAlignment="1" applyProtection="1">
      <alignment horizontal="right" vertical="center"/>
    </xf>
    <xf numFmtId="168" fontId="77" fillId="0" borderId="0" xfId="52" applyNumberFormat="1" applyFont="1" applyFill="1" applyBorder="1" applyAlignment="1" applyProtection="1">
      <alignment horizontal="right" vertical="center"/>
    </xf>
    <xf numFmtId="172" fontId="77" fillId="0" borderId="0" xfId="52" applyNumberFormat="1" applyFont="1" applyFill="1" applyBorder="1" applyAlignment="1" applyProtection="1">
      <alignment horizontal="right" vertical="center"/>
    </xf>
    <xf numFmtId="0" fontId="75" fillId="0" borderId="0" xfId="52" applyFont="1" applyFill="1" applyBorder="1" applyAlignment="1">
      <alignment vertical="center"/>
    </xf>
    <xf numFmtId="2" fontId="32" fillId="0" borderId="0" xfId="52" applyNumberFormat="1" applyFont="1" applyFill="1" applyBorder="1" applyAlignment="1" applyProtection="1">
      <alignment horizontal="right" vertical="center"/>
    </xf>
    <xf numFmtId="0" fontId="32" fillId="0" borderId="0" xfId="52" applyFont="1" applyFill="1" applyBorder="1"/>
    <xf numFmtId="2" fontId="78" fillId="0" borderId="0" xfId="55" applyNumberFormat="1" applyFont="1" applyFill="1" applyBorder="1" applyAlignment="1" applyProtection="1">
      <alignment horizontal="right" vertical="center"/>
    </xf>
    <xf numFmtId="2" fontId="56" fillId="0" borderId="0" xfId="52" applyNumberFormat="1" applyFont="1" applyFill="1" applyBorder="1" applyAlignment="1" applyProtection="1">
      <alignment horizontal="center" vertical="center"/>
    </xf>
    <xf numFmtId="168" fontId="25" fillId="0" borderId="0" xfId="52" applyNumberFormat="1" applyFont="1" applyFill="1" applyBorder="1" applyAlignment="1" applyProtection="1">
      <alignment horizontal="right" vertical="center"/>
    </xf>
    <xf numFmtId="9" fontId="70" fillId="0" borderId="0" xfId="36" applyFont="1" applyFill="1" applyBorder="1" applyAlignment="1" applyProtection="1">
      <alignment horizontal="right" vertical="center"/>
    </xf>
    <xf numFmtId="174" fontId="3" fillId="0" borderId="47" xfId="24" applyNumberFormat="1" applyFont="1" applyFill="1" applyBorder="1" applyAlignment="1" applyProtection="1">
      <alignment vertical="center"/>
    </xf>
    <xf numFmtId="44" fontId="34" fillId="0" borderId="0" xfId="37" applyNumberFormat="1" applyFont="1" applyFill="1" applyBorder="1" applyAlignment="1" applyProtection="1">
      <alignment horizontal="right" vertical="center" shrinkToFit="1"/>
    </xf>
    <xf numFmtId="171" fontId="7" fillId="4" borderId="17" xfId="33" applyNumberFormat="1" applyFont="1" applyFill="1" applyBorder="1" applyAlignment="1" applyProtection="1">
      <alignment vertical="center"/>
      <protection locked="0"/>
    </xf>
    <xf numFmtId="0" fontId="9" fillId="4" borderId="18" xfId="33" applyNumberFormat="1" applyFont="1" applyFill="1" applyBorder="1" applyAlignment="1" applyProtection="1">
      <alignment vertical="center"/>
      <protection locked="0"/>
    </xf>
    <xf numFmtId="0" fontId="9" fillId="4" borderId="19" xfId="33" applyNumberFormat="1" applyFont="1" applyFill="1" applyBorder="1" applyAlignment="1" applyProtection="1">
      <alignment horizontal="right" vertical="center"/>
      <protection locked="0"/>
    </xf>
    <xf numFmtId="0" fontId="9" fillId="0" borderId="0" xfId="33" applyNumberFormat="1" applyFont="1" applyFill="1" applyBorder="1" applyAlignment="1" applyProtection="1">
      <alignment vertical="center"/>
      <protection locked="0"/>
    </xf>
    <xf numFmtId="171" fontId="9" fillId="0" borderId="0" xfId="33" applyNumberFormat="1" applyFont="1" applyFill="1" applyBorder="1" applyAlignment="1" applyProtection="1">
      <alignment vertical="center"/>
      <protection locked="0"/>
    </xf>
    <xf numFmtId="171" fontId="9" fillId="4" borderId="17" xfId="33" applyNumberFormat="1" applyFont="1" applyFill="1" applyBorder="1" applyAlignment="1" applyProtection="1">
      <alignment vertical="center"/>
      <protection locked="0"/>
    </xf>
    <xf numFmtId="0" fontId="9" fillId="4" borderId="20" xfId="33" applyNumberFormat="1" applyFont="1" applyFill="1" applyBorder="1" applyAlignment="1" applyProtection="1">
      <alignment vertical="center"/>
      <protection locked="0"/>
    </xf>
    <xf numFmtId="171" fontId="7" fillId="4" borderId="22" xfId="33" applyNumberFormat="1" applyFont="1" applyFill="1" applyBorder="1" applyAlignment="1" applyProtection="1">
      <alignment vertical="center"/>
      <protection locked="0"/>
    </xf>
    <xf numFmtId="0" fontId="9" fillId="4" borderId="0" xfId="33" applyNumberFormat="1" applyFont="1" applyFill="1" applyBorder="1" applyAlignment="1" applyProtection="1">
      <alignment vertical="center"/>
      <protection locked="0"/>
    </xf>
    <xf numFmtId="0" fontId="9" fillId="4" borderId="21" xfId="33" applyNumberFormat="1" applyFont="1" applyFill="1" applyBorder="1" applyAlignment="1" applyProtection="1">
      <alignment horizontal="right" vertical="center"/>
      <protection locked="0"/>
    </xf>
    <xf numFmtId="171" fontId="9" fillId="4" borderId="22" xfId="33" applyNumberFormat="1" applyFont="1" applyFill="1" applyBorder="1" applyAlignment="1" applyProtection="1">
      <alignment vertical="center"/>
      <protection locked="0"/>
    </xf>
    <xf numFmtId="0" fontId="9" fillId="4" borderId="23" xfId="33" applyNumberFormat="1" applyFont="1" applyFill="1" applyBorder="1" applyAlignment="1" applyProtection="1">
      <alignment vertical="center"/>
      <protection locked="0"/>
    </xf>
    <xf numFmtId="171" fontId="7" fillId="4" borderId="24" xfId="33" applyNumberFormat="1" applyFont="1" applyFill="1" applyBorder="1" applyAlignment="1" applyProtection="1">
      <alignment vertical="center"/>
      <protection locked="0"/>
    </xf>
    <xf numFmtId="0" fontId="9" fillId="4" borderId="25" xfId="33" applyNumberFormat="1" applyFont="1" applyFill="1" applyBorder="1" applyAlignment="1" applyProtection="1">
      <alignment vertical="center"/>
      <protection locked="0"/>
    </xf>
    <xf numFmtId="0" fontId="9" fillId="4" borderId="26" xfId="33" applyNumberFormat="1" applyFont="1" applyFill="1" applyBorder="1" applyAlignment="1" applyProtection="1">
      <alignment horizontal="right" vertical="center"/>
      <protection locked="0"/>
    </xf>
    <xf numFmtId="171" fontId="9" fillId="4" borderId="24" xfId="33" applyNumberFormat="1" applyFont="1" applyFill="1" applyBorder="1" applyAlignment="1" applyProtection="1">
      <alignment horizontal="left" vertical="center"/>
      <protection locked="0"/>
    </xf>
    <xf numFmtId="0" fontId="9" fillId="4" borderId="27" xfId="33" applyNumberFormat="1" applyFont="1" applyFill="1" applyBorder="1" applyAlignment="1" applyProtection="1">
      <alignment vertical="center"/>
      <protection locked="0"/>
    </xf>
    <xf numFmtId="0" fontId="9" fillId="0" borderId="0" xfId="33" applyNumberFormat="1" applyFont="1" applyFill="1" applyBorder="1" applyAlignment="1" applyProtection="1">
      <alignment horizontal="right" vertical="center"/>
      <protection locked="0"/>
    </xf>
    <xf numFmtId="0" fontId="9" fillId="0" borderId="23" xfId="33" applyNumberFormat="1" applyFont="1" applyFill="1" applyBorder="1" applyAlignment="1" applyProtection="1">
      <alignment vertical="center"/>
      <protection locked="0"/>
    </xf>
    <xf numFmtId="171" fontId="15" fillId="0" borderId="0" xfId="33" applyNumberFormat="1" applyFont="1" applyFill="1" applyBorder="1" applyAlignment="1" applyProtection="1">
      <alignment vertical="center"/>
      <protection locked="0"/>
    </xf>
    <xf numFmtId="0" fontId="15" fillId="0" borderId="0" xfId="33" applyNumberFormat="1" applyFont="1" applyFill="1" applyBorder="1" applyAlignment="1" applyProtection="1">
      <alignment vertical="center"/>
      <protection locked="0"/>
    </xf>
    <xf numFmtId="49" fontId="7" fillId="0" borderId="28" xfId="33" applyNumberFormat="1" applyFont="1" applyFill="1" applyBorder="1" applyAlignment="1" applyProtection="1">
      <alignment horizontal="center" vertical="center"/>
      <protection locked="0"/>
    </xf>
    <xf numFmtId="171" fontId="9" fillId="0" borderId="29" xfId="33" applyNumberFormat="1" applyFont="1" applyFill="1" applyBorder="1" applyAlignment="1" applyProtection="1">
      <alignment horizontal="left" vertical="center"/>
      <protection locked="0"/>
    </xf>
    <xf numFmtId="0" fontId="9" fillId="0" borderId="30" xfId="33" applyNumberFormat="1" applyFont="1" applyFill="1" applyBorder="1" applyAlignment="1" applyProtection="1">
      <alignment vertical="center"/>
      <protection locked="0"/>
    </xf>
    <xf numFmtId="171" fontId="7" fillId="4" borderId="22" xfId="33" applyNumberFormat="1" applyFont="1" applyFill="1" applyBorder="1" applyAlignment="1" applyProtection="1">
      <alignment horizontal="left" vertical="center"/>
      <protection locked="0"/>
    </xf>
    <xf numFmtId="171" fontId="9" fillId="0" borderId="28" xfId="33" applyNumberFormat="1" applyFont="1" applyFill="1" applyBorder="1" applyAlignment="1" applyProtection="1">
      <alignment horizontal="left" vertical="center"/>
      <protection locked="0"/>
    </xf>
    <xf numFmtId="171" fontId="9" fillId="0" borderId="29" xfId="33" applyNumberFormat="1" applyFont="1" applyFill="1" applyBorder="1" applyAlignment="1" applyProtection="1">
      <alignment vertical="center"/>
      <protection locked="0"/>
    </xf>
    <xf numFmtId="171" fontId="9" fillId="4" borderId="24" xfId="33" applyNumberFormat="1" applyFont="1" applyFill="1" applyBorder="1" applyAlignment="1" applyProtection="1">
      <alignment vertical="center"/>
      <protection locked="0"/>
    </xf>
    <xf numFmtId="0" fontId="11" fillId="0" borderId="13" xfId="33" applyNumberFormat="1" applyFont="1" applyFill="1" applyBorder="1" applyAlignment="1" applyProtection="1">
      <alignment vertical="center"/>
      <protection locked="0"/>
    </xf>
    <xf numFmtId="0" fontId="8" fillId="0" borderId="14" xfId="33" applyNumberFormat="1" applyFont="1" applyFill="1" applyBorder="1" applyAlignment="1" applyProtection="1">
      <alignment vertical="center"/>
      <protection locked="0"/>
    </xf>
    <xf numFmtId="0" fontId="15" fillId="0" borderId="14" xfId="33" applyNumberFormat="1" applyFont="1" applyFill="1" applyBorder="1" applyAlignment="1" applyProtection="1">
      <alignment vertical="center"/>
      <protection locked="0"/>
    </xf>
    <xf numFmtId="0" fontId="8" fillId="0" borderId="51" xfId="33" applyNumberFormat="1" applyFont="1" applyFill="1" applyBorder="1" applyAlignment="1" applyProtection="1">
      <alignment vertical="center"/>
      <protection locked="0"/>
    </xf>
    <xf numFmtId="0" fontId="15" fillId="0" borderId="52" xfId="33" applyNumberFormat="1" applyFont="1" applyFill="1" applyBorder="1" applyAlignment="1" applyProtection="1">
      <alignment vertical="center"/>
      <protection locked="0"/>
    </xf>
    <xf numFmtId="0" fontId="8" fillId="0" borderId="16" xfId="33" applyNumberFormat="1" applyFont="1" applyFill="1" applyBorder="1" applyAlignment="1" applyProtection="1">
      <alignment vertical="center"/>
      <protection locked="0"/>
    </xf>
    <xf numFmtId="0" fontId="8" fillId="0" borderId="0" xfId="33" applyNumberFormat="1" applyFont="1" applyFill="1" applyBorder="1" applyAlignment="1" applyProtection="1">
      <alignment vertical="center"/>
      <protection locked="0"/>
    </xf>
    <xf numFmtId="0" fontId="8" fillId="0" borderId="21" xfId="33" applyNumberFormat="1" applyFont="1" applyFill="1" applyBorder="1" applyAlignment="1" applyProtection="1">
      <alignment vertical="center"/>
      <protection locked="0"/>
    </xf>
    <xf numFmtId="0" fontId="8" fillId="0" borderId="22" xfId="33" applyNumberFormat="1" applyFont="1" applyFill="1" applyBorder="1" applyAlignment="1" applyProtection="1">
      <alignment vertical="center"/>
      <protection locked="0"/>
    </xf>
    <xf numFmtId="173" fontId="15" fillId="0" borderId="0" xfId="33" applyNumberFormat="1" applyFont="1" applyFill="1" applyBorder="1" applyAlignment="1" applyProtection="1">
      <alignment vertical="center"/>
      <protection locked="0"/>
    </xf>
    <xf numFmtId="0" fontId="12" fillId="0" borderId="53" xfId="33" applyNumberFormat="1" applyFont="1" applyFill="1" applyBorder="1" applyAlignment="1" applyProtection="1">
      <alignment horizontal="left" vertical="center"/>
      <protection locked="0"/>
    </xf>
    <xf numFmtId="0" fontId="8" fillId="0" borderId="25" xfId="33" applyNumberFormat="1" applyFont="1" applyFill="1" applyBorder="1" applyAlignment="1" applyProtection="1">
      <alignment vertical="center"/>
      <protection locked="0"/>
    </xf>
    <xf numFmtId="14" fontId="15" fillId="0" borderId="25" xfId="33" applyNumberFormat="1" applyFont="1" applyFill="1" applyBorder="1" applyAlignment="1" applyProtection="1">
      <alignment vertical="center"/>
      <protection locked="0"/>
    </xf>
    <xf numFmtId="0" fontId="8" fillId="0" borderId="26" xfId="33" applyNumberFormat="1" applyFont="1" applyFill="1" applyBorder="1" applyAlignment="1" applyProtection="1">
      <alignment vertical="center"/>
      <protection locked="0"/>
    </xf>
    <xf numFmtId="0" fontId="12" fillId="0" borderId="25" xfId="33" applyNumberFormat="1" applyFont="1" applyFill="1" applyBorder="1" applyAlignment="1" applyProtection="1">
      <alignment horizontal="left" vertical="center"/>
      <protection locked="0"/>
    </xf>
    <xf numFmtId="0" fontId="15" fillId="0" borderId="25" xfId="33" applyNumberFormat="1" applyFont="1" applyFill="1" applyBorder="1" applyAlignment="1" applyProtection="1">
      <alignment vertical="center"/>
      <protection locked="0"/>
    </xf>
    <xf numFmtId="0" fontId="11" fillId="0" borderId="16" xfId="33" applyNumberFormat="1" applyFont="1" applyFill="1" applyBorder="1" applyAlignment="1" applyProtection="1">
      <alignment vertical="center"/>
      <protection locked="0"/>
    </xf>
    <xf numFmtId="0" fontId="15" fillId="0" borderId="22" xfId="33" applyNumberFormat="1" applyFont="1" applyFill="1" applyBorder="1" applyAlignment="1" applyProtection="1">
      <alignment vertical="center"/>
      <protection locked="0"/>
    </xf>
    <xf numFmtId="0" fontId="15" fillId="0" borderId="16" xfId="33" applyNumberFormat="1" applyFont="1" applyFill="1" applyBorder="1" applyAlignment="1" applyProtection="1">
      <alignment vertical="center"/>
      <protection locked="0"/>
    </xf>
    <xf numFmtId="0" fontId="12" fillId="0" borderId="16" xfId="33" applyNumberFormat="1" applyFont="1" applyFill="1" applyBorder="1" applyAlignment="1" applyProtection="1">
      <alignment horizontal="left" vertical="center"/>
      <protection locked="0"/>
    </xf>
    <xf numFmtId="0" fontId="12" fillId="0" borderId="0" xfId="33" applyNumberFormat="1" applyFont="1" applyFill="1" applyBorder="1" applyAlignment="1" applyProtection="1">
      <alignment horizontal="left" vertical="center"/>
      <protection locked="0"/>
    </xf>
    <xf numFmtId="0" fontId="11" fillId="0" borderId="54" xfId="33" applyNumberFormat="1" applyFont="1" applyFill="1" applyBorder="1" applyAlignment="1" applyProtection="1">
      <alignment vertical="center"/>
      <protection locked="0"/>
    </xf>
    <xf numFmtId="0" fontId="8" fillId="0" borderId="18" xfId="33" applyNumberFormat="1" applyFont="1" applyFill="1" applyBorder="1" applyAlignment="1" applyProtection="1">
      <alignment vertical="center"/>
      <protection locked="0"/>
    </xf>
    <xf numFmtId="0" fontId="8" fillId="0" borderId="19" xfId="33" applyNumberFormat="1" applyFont="1" applyFill="1" applyBorder="1" applyAlignment="1" applyProtection="1">
      <alignment vertical="center"/>
      <protection locked="0"/>
    </xf>
    <xf numFmtId="0" fontId="15" fillId="0" borderId="18" xfId="33" applyNumberFormat="1" applyFont="1" applyFill="1" applyBorder="1" applyAlignment="1" applyProtection="1">
      <alignment vertical="center"/>
      <protection locked="0"/>
    </xf>
    <xf numFmtId="171" fontId="8" fillId="0" borderId="16" xfId="33" applyNumberFormat="1" applyFont="1" applyFill="1" applyBorder="1" applyAlignment="1" applyProtection="1">
      <alignment vertical="center"/>
      <protection locked="0"/>
    </xf>
    <xf numFmtId="0" fontId="12" fillId="0" borderId="33" xfId="33" applyNumberFormat="1" applyFont="1" applyFill="1" applyBorder="1" applyAlignment="1" applyProtection="1">
      <alignment horizontal="left" vertical="center"/>
      <protection locked="0"/>
    </xf>
    <xf numFmtId="0" fontId="8" fillId="0" borderId="34" xfId="33" applyNumberFormat="1" applyFont="1" applyFill="1" applyBorder="1" applyAlignment="1" applyProtection="1">
      <alignment vertical="center"/>
      <protection locked="0"/>
    </xf>
    <xf numFmtId="14" fontId="3" fillId="0" borderId="34" xfId="33" applyNumberFormat="1" applyFont="1" applyFill="1" applyBorder="1" applyAlignment="1" applyProtection="1">
      <alignment horizontal="center" vertical="center"/>
      <protection locked="0"/>
    </xf>
    <xf numFmtId="0" fontId="8" fillId="0" borderId="55" xfId="33" applyNumberFormat="1" applyFont="1" applyFill="1" applyBorder="1" applyAlignment="1" applyProtection="1">
      <alignment vertical="center"/>
      <protection locked="0"/>
    </xf>
    <xf numFmtId="0" fontId="12" fillId="0" borderId="56" xfId="33" applyNumberFormat="1" applyFont="1" applyFill="1" applyBorder="1" applyAlignment="1" applyProtection="1">
      <alignment vertical="center"/>
      <protection locked="0"/>
    </xf>
    <xf numFmtId="44" fontId="32" fillId="0" borderId="0" xfId="53" applyNumberFormat="1" applyFont="1" applyFill="1" applyBorder="1" applyAlignment="1" applyProtection="1">
      <alignment horizontal="right" vertical="center" shrinkToFit="1"/>
      <protection locked="0"/>
    </xf>
    <xf numFmtId="44" fontId="34" fillId="0" borderId="0" xfId="37" applyNumberFormat="1" applyFont="1" applyFill="1" applyBorder="1" applyAlignment="1" applyProtection="1">
      <alignment horizontal="right" vertical="center" shrinkToFit="1"/>
      <protection locked="0"/>
    </xf>
    <xf numFmtId="44" fontId="33" fillId="19" borderId="0" xfId="37" applyNumberFormat="1" applyFont="1" applyFill="1" applyBorder="1" applyAlignment="1" applyProtection="1">
      <alignment vertical="center"/>
      <protection locked="0"/>
    </xf>
    <xf numFmtId="44" fontId="34" fillId="0" borderId="0" xfId="53" applyNumberFormat="1" applyFont="1" applyFill="1" applyBorder="1" applyAlignment="1" applyProtection="1">
      <alignment horizontal="right" vertical="center" shrinkToFit="1"/>
      <protection locked="0"/>
    </xf>
    <xf numFmtId="4" fontId="25" fillId="0" borderId="0" xfId="52" applyNumberFormat="1" applyFont="1" applyFill="1" applyBorder="1" applyAlignment="1" applyProtection="1">
      <alignment horizontal="left" vertical="center"/>
      <protection locked="0"/>
    </xf>
    <xf numFmtId="0" fontId="34" fillId="0" borderId="0" xfId="52" applyFont="1" applyFill="1" applyBorder="1" applyAlignment="1" applyProtection="1">
      <alignment vertical="center"/>
      <protection locked="0"/>
    </xf>
    <xf numFmtId="44" fontId="76" fillId="0" borderId="0" xfId="53" applyNumberFormat="1" applyFont="1" applyFill="1" applyBorder="1" applyAlignment="1" applyProtection="1">
      <alignment horizontal="right" vertical="center" shrinkToFit="1"/>
      <protection locked="0"/>
    </xf>
    <xf numFmtId="2" fontId="68" fillId="0" borderId="0" xfId="34" applyNumberFormat="1" applyFont="1" applyFill="1" applyBorder="1" applyAlignment="1" applyProtection="1">
      <alignment horizontal="right" vertical="center" wrapText="1"/>
      <protection locked="0"/>
    </xf>
    <xf numFmtId="44" fontId="25" fillId="0" borderId="0" xfId="37" applyNumberFormat="1" applyFont="1" applyFill="1" applyBorder="1" applyAlignment="1" applyProtection="1">
      <alignment horizontal="left" vertical="center" shrinkToFit="1"/>
      <protection locked="0"/>
    </xf>
    <xf numFmtId="44" fontId="32" fillId="0" borderId="0" xfId="37" applyNumberFormat="1" applyFont="1" applyFill="1" applyBorder="1" applyAlignment="1" applyProtection="1">
      <alignment horizontal="right" vertical="center" shrinkToFit="1"/>
      <protection locked="0"/>
    </xf>
    <xf numFmtId="44" fontId="33" fillId="20" borderId="0" xfId="37" applyNumberFormat="1" applyFont="1" applyFill="1" applyBorder="1" applyAlignment="1" applyProtection="1">
      <alignment vertical="center"/>
      <protection locked="0"/>
    </xf>
    <xf numFmtId="2" fontId="34" fillId="0" borderId="0" xfId="52" applyNumberFormat="1" applyFont="1" applyFill="1" applyBorder="1" applyAlignment="1" applyProtection="1">
      <alignment vertical="center"/>
      <protection locked="0"/>
    </xf>
    <xf numFmtId="44" fontId="33" fillId="19" borderId="0" xfId="53" applyNumberFormat="1" applyFont="1" applyFill="1" applyBorder="1" applyAlignment="1" applyProtection="1">
      <alignment vertical="center"/>
      <protection locked="0"/>
    </xf>
    <xf numFmtId="44" fontId="32" fillId="0" borderId="0" xfId="53" applyNumberFormat="1" applyFont="1" applyFill="1" applyBorder="1" applyAlignment="1" applyProtection="1">
      <alignment horizontal="right" vertical="center"/>
      <protection locked="0"/>
    </xf>
    <xf numFmtId="0" fontId="33" fillId="19" borderId="0" xfId="34" applyNumberFormat="1" applyFont="1" applyFill="1" applyBorder="1" applyAlignment="1" applyProtection="1">
      <alignment vertical="center"/>
      <protection locked="0"/>
    </xf>
    <xf numFmtId="44" fontId="32" fillId="0" borderId="0" xfId="37" applyNumberFormat="1" applyFont="1" applyFill="1" applyBorder="1" applyAlignment="1" applyProtection="1">
      <alignment horizontal="right" vertical="center"/>
      <protection locked="0"/>
    </xf>
    <xf numFmtId="0" fontId="16" fillId="0" borderId="10" xfId="33" applyNumberFormat="1" applyFont="1" applyFill="1" applyBorder="1" applyAlignment="1" applyProtection="1">
      <alignment horizontal="center" vertical="center"/>
    </xf>
    <xf numFmtId="0" fontId="16" fillId="0" borderId="11" xfId="33" applyNumberFormat="1" applyFont="1" applyFill="1" applyBorder="1" applyAlignment="1" applyProtection="1">
      <alignment horizontal="center" vertical="center"/>
    </xf>
    <xf numFmtId="0" fontId="16" fillId="0" borderId="12" xfId="33" applyNumberFormat="1" applyFont="1" applyFill="1" applyBorder="1" applyAlignment="1" applyProtection="1">
      <alignment horizontal="center" vertical="center"/>
    </xf>
    <xf numFmtId="0" fontId="11" fillId="0" borderId="17" xfId="33" applyNumberFormat="1" applyFont="1" applyFill="1" applyBorder="1" applyAlignment="1" applyProtection="1">
      <alignment horizontal="center" vertical="center"/>
    </xf>
    <xf numFmtId="0" fontId="11" fillId="0" borderId="19" xfId="33" applyNumberFormat="1" applyFont="1" applyFill="1" applyBorder="1" applyAlignment="1" applyProtection="1">
      <alignment horizontal="center" vertical="center"/>
    </xf>
    <xf numFmtId="0" fontId="11" fillId="0" borderId="24" xfId="33" applyNumberFormat="1" applyFont="1" applyFill="1" applyBorder="1" applyAlignment="1" applyProtection="1">
      <alignment horizontal="center" vertical="center"/>
    </xf>
    <xf numFmtId="0" fontId="11" fillId="0" borderId="26" xfId="33" applyNumberFormat="1" applyFont="1" applyFill="1" applyBorder="1" applyAlignment="1" applyProtection="1">
      <alignment horizontal="center" vertical="center"/>
    </xf>
    <xf numFmtId="174" fontId="4" fillId="0" borderId="17" xfId="24" applyNumberFormat="1" applyFont="1" applyFill="1" applyBorder="1" applyAlignment="1" applyProtection="1">
      <alignment horizontal="center" vertical="center"/>
    </xf>
    <xf numFmtId="174" fontId="4" fillId="0" borderId="24" xfId="24" applyNumberFormat="1" applyFont="1" applyFill="1" applyBorder="1" applyAlignment="1" applyProtection="1">
      <alignment horizontal="center" vertical="center"/>
    </xf>
    <xf numFmtId="174" fontId="4" fillId="0" borderId="56" xfId="24" applyNumberFormat="1" applyFont="1" applyFill="1" applyBorder="1" applyAlignment="1" applyProtection="1">
      <alignment horizontal="center" vertical="center"/>
    </xf>
    <xf numFmtId="0" fontId="5" fillId="0" borderId="36" xfId="33" applyNumberFormat="1" applyFont="1" applyFill="1" applyBorder="1" applyAlignment="1" applyProtection="1">
      <alignment horizontal="center" vertical="center"/>
    </xf>
    <xf numFmtId="0" fontId="5" fillId="0" borderId="31" xfId="33" applyNumberFormat="1" applyFont="1" applyFill="1" applyBorder="1" applyAlignment="1" applyProtection="1">
      <alignment horizontal="center" vertical="center"/>
    </xf>
    <xf numFmtId="0" fontId="5" fillId="0" borderId="32" xfId="33" applyNumberFormat="1" applyFont="1" applyFill="1" applyBorder="1" applyAlignment="1" applyProtection="1">
      <alignment horizontal="center" vertical="center"/>
    </xf>
    <xf numFmtId="0" fontId="6" fillId="0" borderId="36" xfId="33" applyNumberFormat="1" applyFont="1" applyFill="1" applyBorder="1" applyAlignment="1" applyProtection="1">
      <alignment horizontal="center" vertical="center"/>
    </xf>
    <xf numFmtId="0" fontId="6" fillId="0" borderId="31" xfId="33" applyNumberFormat="1" applyFont="1" applyFill="1" applyBorder="1" applyAlignment="1" applyProtection="1">
      <alignment horizontal="center" vertical="center"/>
    </xf>
    <xf numFmtId="0" fontId="6" fillId="0" borderId="32" xfId="33" applyNumberFormat="1" applyFont="1" applyFill="1" applyBorder="1" applyAlignment="1" applyProtection="1">
      <alignment horizontal="center" vertical="center"/>
    </xf>
    <xf numFmtId="0" fontId="25" fillId="0" borderId="0" xfId="0" applyFont="1" applyAlignment="1">
      <alignment horizontal="left" vertical="center" wrapText="1"/>
    </xf>
    <xf numFmtId="0" fontId="25" fillId="0" borderId="0" xfId="0" applyFont="1" applyAlignment="1">
      <alignment horizontal="left" vertical="center"/>
    </xf>
    <xf numFmtId="49" fontId="26" fillId="0" borderId="0" xfId="34" applyNumberFormat="1" applyFont="1" applyFill="1" applyBorder="1" applyAlignment="1" applyProtection="1">
      <alignment horizontal="center" vertical="center"/>
    </xf>
    <xf numFmtId="0" fontId="26" fillId="0" borderId="0" xfId="34" applyNumberFormat="1" applyFont="1" applyFill="1" applyBorder="1" applyAlignment="1" applyProtection="1">
      <alignment horizontal="center" vertical="center"/>
    </xf>
    <xf numFmtId="49" fontId="27" fillId="21" borderId="0" xfId="34" applyNumberFormat="1" applyFont="1" applyFill="1" applyBorder="1" applyAlignment="1" applyProtection="1">
      <alignment horizontal="left" vertical="center"/>
    </xf>
    <xf numFmtId="0" fontId="27" fillId="21" borderId="0" xfId="34" applyNumberFormat="1" applyFont="1" applyFill="1" applyBorder="1" applyAlignment="1" applyProtection="1">
      <alignment horizontal="left" vertical="center"/>
    </xf>
    <xf numFmtId="2" fontId="26" fillId="21" borderId="0" xfId="34" applyNumberFormat="1" applyFont="1" applyFill="1" applyBorder="1" applyAlignment="1" applyProtection="1">
      <alignment horizontal="left" vertical="center" wrapText="1"/>
    </xf>
    <xf numFmtId="2" fontId="27" fillId="21" borderId="0" xfId="34" applyNumberFormat="1" applyFont="1" applyFill="1" applyBorder="1" applyAlignment="1" applyProtection="1">
      <alignment horizontal="center" vertical="center"/>
    </xf>
    <xf numFmtId="49" fontId="27" fillId="21" borderId="0" xfId="34" applyNumberFormat="1" applyFont="1" applyFill="1" applyBorder="1" applyAlignment="1" applyProtection="1">
      <alignment horizontal="right" vertical="center"/>
    </xf>
  </cellXfs>
  <cellStyles count="58">
    <cellStyle name="20 % – Zvýraznění 1" xfId="1" builtinId="30" customBuiltin="1"/>
    <cellStyle name="20 % – Zvýraznění 2" xfId="2" builtinId="34" customBuiltin="1"/>
    <cellStyle name="20 % – Zvýraznění 3" xfId="3" builtinId="38" customBuiltin="1"/>
    <cellStyle name="20 % – Zvýraznění 4" xfId="4" builtinId="42" customBuiltin="1"/>
    <cellStyle name="20 % – Zvýraznění 5" xfId="5" builtinId="46" customBuiltin="1"/>
    <cellStyle name="20 % – Zvýraznění 6" xfId="6" builtinId="50" customBuiltin="1"/>
    <cellStyle name="40 % – Zvýraznění 1" xfId="7" builtinId="31" customBuiltin="1"/>
    <cellStyle name="40 % – Zvýraznění 2" xfId="8" builtinId="35" customBuiltin="1"/>
    <cellStyle name="40 % – Zvýraznění 3" xfId="9" builtinId="39" customBuiltin="1"/>
    <cellStyle name="40 % – Zvýraznění 4" xfId="10" builtinId="43" customBuiltin="1"/>
    <cellStyle name="40 % – Zvýraznění 5" xfId="11" builtinId="47" customBuiltin="1"/>
    <cellStyle name="40 % – Zvýraznění 6" xfId="12" builtinId="51" customBuiltin="1"/>
    <cellStyle name="60 % – Zvýraznění 1" xfId="13" builtinId="32" customBuiltin="1"/>
    <cellStyle name="60 % – Zvýraznění 2" xfId="14" builtinId="36" customBuiltin="1"/>
    <cellStyle name="60 % – Zvýraznění 3" xfId="15" builtinId="40" customBuiltin="1"/>
    <cellStyle name="60 % – Zvýraznění 4" xfId="16" builtinId="44" customBuiltin="1"/>
    <cellStyle name="60 % – Zvýraznění 5" xfId="17" builtinId="48" customBuiltin="1"/>
    <cellStyle name="60 % – Zvýraznění 6" xfId="18" builtinId="52" customBuiltin="1"/>
    <cellStyle name="Celkem" xfId="19" builtinId="25" customBuiltin="1"/>
    <cellStyle name="čárky 2" xfId="54" xr:uid="{00000000-0005-0000-0000-000013000000}"/>
    <cellStyle name="Hypertextový odkaz" xfId="20" builtinId="8"/>
    <cellStyle name="Kontrolní buňka" xfId="22" builtinId="23" customBuiltin="1"/>
    <cellStyle name="Měna" xfId="23" builtinId="4"/>
    <cellStyle name="měny_NAB05588-Hotel PRAHA,Lomnice n_P,cena,2006_01_29" xfId="24" xr:uid="{00000000-0005-0000-0000-000018000000}"/>
    <cellStyle name="měny_NAB07775-rek_kasáren Varnsdorf,cena,2007_05_16a" xfId="25" xr:uid="{00000000-0005-0000-0000-000019000000}"/>
    <cellStyle name="měny_Přístavba hasičké zbrojnice,Přepeře,2008 08" xfId="26" xr:uid="{00000000-0005-0000-0000-00001A000000}"/>
    <cellStyle name="Nadpis 1" xfId="27" builtinId="16" customBuiltin="1"/>
    <cellStyle name="Nadpis 2" xfId="28" builtinId="17" customBuiltin="1"/>
    <cellStyle name="Nadpis 3" xfId="29" builtinId="18" customBuiltin="1"/>
    <cellStyle name="Nadpis 4" xfId="30" builtinId="19" customBuiltin="1"/>
    <cellStyle name="Název" xfId="31" builtinId="15" customBuiltin="1"/>
    <cellStyle name="Neutrální" xfId="32" builtinId="28" customBuiltin="1"/>
    <cellStyle name="Normální" xfId="0" builtinId="0"/>
    <cellStyle name="normální 2" xfId="51" xr:uid="{00000000-0005-0000-0000-000022000000}"/>
    <cellStyle name="normální 2 2" xfId="56" xr:uid="{00000000-0005-0000-0000-000023000000}"/>
    <cellStyle name="normální 3" xfId="57" xr:uid="{00000000-0005-0000-0000-000024000000}"/>
    <cellStyle name="normální_Chata V.Hamry,hosp.stavení-rozpočet,cena 2" xfId="55" xr:uid="{00000000-0005-0000-0000-000025000000}"/>
    <cellStyle name="normální_NAB05588-Hotel PRAHA,Lomnice n_P,cena,2006_01_29" xfId="33" xr:uid="{00000000-0005-0000-0000-000026000000}"/>
    <cellStyle name="normální_U Pyrámu Ohhrazenice,Turnov" xfId="34" xr:uid="{00000000-0005-0000-0000-000027000000}"/>
    <cellStyle name="normální_U Pyrámu Ohhrazenice,Turnov 2" xfId="52" xr:uid="{00000000-0005-0000-0000-000028000000}"/>
    <cellStyle name="Poznámka" xfId="35" builtinId="10" customBuiltin="1"/>
    <cellStyle name="procent_U Pyrámu Ohhrazenice,Turnov" xfId="37" xr:uid="{00000000-0005-0000-0000-00002A000000}"/>
    <cellStyle name="procent_U Pyrámu Ohhrazenice,Turnov 2" xfId="53" xr:uid="{00000000-0005-0000-0000-00002B000000}"/>
    <cellStyle name="Procenta" xfId="36" builtinId="5"/>
    <cellStyle name="Propojená buňka" xfId="38" builtinId="24" customBuiltin="1"/>
    <cellStyle name="Správně" xfId="39" builtinId="26" customBuiltin="1"/>
    <cellStyle name="Špatně" xfId="21" builtinId="27" customBuiltin="1"/>
    <cellStyle name="Text upozornění" xfId="40" builtinId="11" customBuiltin="1"/>
    <cellStyle name="Vstup" xfId="41" builtinId="20" customBuiltin="1"/>
    <cellStyle name="Výpočet" xfId="42" builtinId="22" customBuiltin="1"/>
    <cellStyle name="Výstup" xfId="43" builtinId="21" customBuiltin="1"/>
    <cellStyle name="Vysvětlující text" xfId="44" builtinId="53" customBuiltin="1"/>
    <cellStyle name="Zvýraznění 1" xfId="45" builtinId="29" customBuiltin="1"/>
    <cellStyle name="Zvýraznění 2" xfId="46" builtinId="33" customBuiltin="1"/>
    <cellStyle name="Zvýraznění 3" xfId="47" builtinId="37" customBuiltin="1"/>
    <cellStyle name="Zvýraznění 4" xfId="48" builtinId="41" customBuiltin="1"/>
    <cellStyle name="Zvýraznění 5" xfId="49" builtinId="45" customBuiltin="1"/>
    <cellStyle name="Zvýraznění 6" xfId="50" builtinId="49"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WINDOWS\Temporary%20Internet%20Files\Content.IE5\GVRXGH0N\NAB02403-Sokolovna%20Dalim&#283;&#345;ice,TJ%20Turnov,SO%2001.1-I.etapa,07.06.2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5-Mach&#225;&#269;ek%20pardubice\12-KOSTEL%20NANEBEVZET&#205;%20PANNY%20MARIE%20V%20NERATOV&#282;\rozpo&#269;ty\Neratov%20%20kostel%20sanace%20zdiva%20celek.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5-Mach&#225;&#269;ek%20pardubice\20-kostel%20Na%20Vrchn&#237;%20Orlici\rozpo&#269;et\Rozpo&#269;et_kostel_sv.%20J_Nepomuck&#233;ho_09_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efreshError="1"/>
      <sheetData sheetId="1">
        <row r="36">
          <cell r="E36">
            <v>410656.51466576121</v>
          </cell>
          <cell r="G36">
            <v>0</v>
          </cell>
          <cell r="H36">
            <v>0</v>
          </cell>
          <cell r="I36">
            <v>0</v>
          </cell>
        </row>
        <row r="45">
          <cell r="H45">
            <v>19845.262713559212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Položky"/>
    </sheetNames>
    <sheetDataSet>
      <sheetData sheetId="0">
        <row r="30">
          <cell r="C30">
            <v>20</v>
          </cell>
        </row>
        <row r="32">
          <cell r="C32">
            <v>0</v>
          </cell>
        </row>
      </sheetData>
      <sheetData sheetId="1"/>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hrn"/>
      <sheetName val="1-Krycí list"/>
      <sheetName val="1-Rekapitulace"/>
      <sheetName val="1-Položky"/>
      <sheetName val="2.1-Krycí list"/>
      <sheetName val="2.1-Rekapitulace"/>
      <sheetName val="2.1-Položky"/>
      <sheetName val="2.2-Krycí list"/>
      <sheetName val="2.2-Rekapitulace"/>
      <sheetName val="2.2-Položky"/>
      <sheetName val="3-Krycí list"/>
      <sheetName val="3-ZTI"/>
      <sheetName val="4-Krycí list"/>
      <sheetName val="4-Rekapitulace"/>
      <sheetName val="4-Položky"/>
      <sheetName val="5.1-Krycí list"/>
      <sheetName val="5.1-Rekapitulace"/>
      <sheetName val="5.1-Položky"/>
      <sheetName val="5.2-Krycí list"/>
      <sheetName val="5.2-Rekapitulace"/>
      <sheetName val="5.2-Položky"/>
      <sheetName val="5.3-Krycí list"/>
      <sheetName val="5.3-Rekapitulace"/>
      <sheetName val="5.3-Položky"/>
      <sheetName val="6-Krycí list"/>
      <sheetName val="6-Rekapitulace"/>
      <sheetName val="6-Položky"/>
      <sheetName val="7-Krycí list"/>
      <sheetName val="7-Rekapitulace"/>
      <sheetName val="7-Položky"/>
      <sheetName val="8-Krycí list"/>
      <sheetName val="8-Rekapitulace"/>
      <sheetName val="8-Položky"/>
      <sheetName val="9-Krycí list"/>
      <sheetName val="9-Rekapitulace"/>
      <sheetName val="9-Položky"/>
      <sheetName val="10-Krycí list"/>
      <sheetName val="10-Rekapitulace"/>
      <sheetName val="10-Položky"/>
      <sheetName val="11-Krycí list"/>
      <sheetName val="11-Rekapitulace"/>
      <sheetName val="11-Položky"/>
    </sheetNames>
    <sheetDataSet>
      <sheetData sheetId="0" refreshError="1"/>
      <sheetData sheetId="1" refreshError="1"/>
      <sheetData sheetId="2">
        <row r="6">
          <cell r="B6" t="str">
            <v>28 : zpevňování hornin a konstrukcí</v>
          </cell>
        </row>
      </sheetData>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1"/>
  </sheetPr>
  <dimension ref="A1:R35"/>
  <sheetViews>
    <sheetView tabSelected="1" view="pageBreakPreview" topLeftCell="A16" zoomScale="115" zoomScaleSheetLayoutView="115" workbookViewId="0">
      <selection activeCell="W16" sqref="W16"/>
    </sheetView>
  </sheetViews>
  <sheetFormatPr defaultColWidth="8.84375" defaultRowHeight="12.45" x14ac:dyDescent="0.3"/>
  <cols>
    <col min="1" max="2" width="2.69140625" style="1" customWidth="1"/>
    <col min="3" max="3" width="2.07421875" style="1" customWidth="1"/>
    <col min="4" max="4" width="7.53515625" style="1" customWidth="1"/>
    <col min="5" max="5" width="13.84375" style="1" customWidth="1"/>
    <col min="6" max="6" width="0.84375" style="1" customWidth="1"/>
    <col min="7" max="7" width="3" style="1" customWidth="1"/>
    <col min="8" max="8" width="2.84375" style="1" customWidth="1"/>
    <col min="9" max="9" width="10.53515625" style="1" customWidth="1"/>
    <col min="10" max="10" width="13.84375" style="1" customWidth="1"/>
    <col min="11" max="11" width="0.69140625" style="1" customWidth="1"/>
    <col min="12" max="12" width="2.4609375" style="1" customWidth="1"/>
    <col min="13" max="13" width="4.53515625" style="1" customWidth="1"/>
    <col min="14" max="14" width="10.4609375" style="1" customWidth="1"/>
    <col min="15" max="15" width="6" style="1" customWidth="1"/>
    <col min="16" max="16" width="15.3046875" style="1" customWidth="1"/>
    <col min="17" max="17" width="14.69140625" style="1" bestFit="1" customWidth="1"/>
    <col min="18" max="18" width="10.69140625" style="1" bestFit="1" customWidth="1"/>
    <col min="19" max="16384" width="8.84375" style="1"/>
  </cols>
  <sheetData>
    <row r="1" spans="1:17" ht="39" customHeight="1" thickBot="1" x14ac:dyDescent="0.35">
      <c r="A1" s="2"/>
      <c r="B1" s="3"/>
      <c r="C1" s="3"/>
      <c r="D1" s="3"/>
      <c r="E1" s="3"/>
      <c r="F1" s="4" t="s">
        <v>78</v>
      </c>
      <c r="G1" s="3"/>
      <c r="H1" s="3"/>
      <c r="I1" s="3"/>
      <c r="J1" s="3"/>
      <c r="K1" s="3"/>
      <c r="L1" s="3"/>
      <c r="M1" s="3"/>
      <c r="N1" s="3"/>
      <c r="O1" s="3"/>
      <c r="P1" s="5"/>
    </row>
    <row r="2" spans="1:17" ht="20.399999999999999" customHeight="1" x14ac:dyDescent="0.3">
      <c r="A2" s="6"/>
      <c r="B2" s="7"/>
      <c r="C2" s="7"/>
      <c r="D2" s="7"/>
      <c r="E2" s="7"/>
      <c r="F2" s="7"/>
      <c r="G2" s="7"/>
      <c r="H2" s="7"/>
      <c r="I2" s="7"/>
      <c r="J2" s="7"/>
      <c r="K2" s="7"/>
      <c r="L2" s="7"/>
      <c r="M2" s="7"/>
      <c r="N2" s="7"/>
      <c r="O2" s="7"/>
      <c r="P2" s="8"/>
    </row>
    <row r="3" spans="1:17" s="12" customFormat="1" ht="20.399999999999999" customHeight="1" x14ac:dyDescent="0.3">
      <c r="A3" s="9"/>
      <c r="B3" s="10" t="s">
        <v>79</v>
      </c>
      <c r="C3" s="10"/>
      <c r="D3" s="10"/>
      <c r="E3" s="352" t="s">
        <v>313</v>
      </c>
      <c r="F3" s="353"/>
      <c r="G3" s="353"/>
      <c r="H3" s="353"/>
      <c r="I3" s="353"/>
      <c r="J3" s="354"/>
      <c r="K3" s="355"/>
      <c r="L3" s="356"/>
      <c r="M3" s="356"/>
      <c r="N3" s="355" t="s">
        <v>80</v>
      </c>
      <c r="O3" s="357"/>
      <c r="P3" s="358"/>
    </row>
    <row r="4" spans="1:17" s="12" customFormat="1" ht="20.399999999999999" customHeight="1" x14ac:dyDescent="0.3">
      <c r="A4" s="9"/>
      <c r="B4" s="10" t="s">
        <v>82</v>
      </c>
      <c r="C4" s="10"/>
      <c r="D4" s="10"/>
      <c r="E4" s="359" t="s">
        <v>312</v>
      </c>
      <c r="F4" s="360"/>
      <c r="G4" s="360"/>
      <c r="H4" s="360"/>
      <c r="I4" s="360"/>
      <c r="J4" s="361"/>
      <c r="K4" s="355"/>
      <c r="L4" s="356"/>
      <c r="M4" s="356"/>
      <c r="N4" s="355" t="s">
        <v>83</v>
      </c>
      <c r="O4" s="362" t="s">
        <v>81</v>
      </c>
      <c r="P4" s="363"/>
    </row>
    <row r="5" spans="1:17" s="12" customFormat="1" ht="20.399999999999999" customHeight="1" x14ac:dyDescent="0.3">
      <c r="A5" s="9"/>
      <c r="B5" s="10" t="s">
        <v>84</v>
      </c>
      <c r="C5" s="10"/>
      <c r="D5" s="10"/>
      <c r="E5" s="364" t="s">
        <v>114</v>
      </c>
      <c r="F5" s="365"/>
      <c r="G5" s="365"/>
      <c r="H5" s="365"/>
      <c r="I5" s="365"/>
      <c r="J5" s="366"/>
      <c r="K5" s="355"/>
      <c r="L5" s="356"/>
      <c r="M5" s="356"/>
      <c r="N5" s="355" t="s">
        <v>85</v>
      </c>
      <c r="O5" s="367"/>
      <c r="P5" s="368"/>
    </row>
    <row r="6" spans="1:17" ht="20.399999999999999" customHeight="1" x14ac:dyDescent="0.3">
      <c r="A6" s="9"/>
      <c r="B6" s="10"/>
      <c r="C6" s="10"/>
      <c r="D6" s="10"/>
      <c r="E6" s="355"/>
      <c r="F6" s="355"/>
      <c r="G6" s="355"/>
      <c r="H6" s="355"/>
      <c r="I6" s="355"/>
      <c r="J6" s="369"/>
      <c r="K6" s="355"/>
      <c r="L6" s="355"/>
      <c r="M6" s="355"/>
      <c r="N6" s="355" t="s">
        <v>86</v>
      </c>
      <c r="O6" s="355" t="s">
        <v>87</v>
      </c>
      <c r="P6" s="370"/>
    </row>
    <row r="7" spans="1:17" ht="24" customHeight="1" x14ac:dyDescent="0.3">
      <c r="A7" s="9" t="s">
        <v>88</v>
      </c>
      <c r="B7" s="10" t="s">
        <v>89</v>
      </c>
      <c r="C7" s="10"/>
      <c r="D7" s="10"/>
      <c r="E7" s="352" t="s">
        <v>314</v>
      </c>
      <c r="F7" s="353"/>
      <c r="G7" s="353"/>
      <c r="H7" s="353"/>
      <c r="I7" s="353"/>
      <c r="J7" s="354"/>
      <c r="K7" s="355"/>
      <c r="L7" s="371"/>
      <c r="M7" s="372"/>
      <c r="N7" s="373" t="s">
        <v>169</v>
      </c>
      <c r="O7" s="374" t="s">
        <v>81</v>
      </c>
      <c r="P7" s="375"/>
      <c r="Q7" s="257"/>
    </row>
    <row r="8" spans="1:17" ht="24" customHeight="1" x14ac:dyDescent="0.3">
      <c r="A8" s="9"/>
      <c r="B8" s="10" t="s">
        <v>90</v>
      </c>
      <c r="C8" s="10"/>
      <c r="D8" s="10"/>
      <c r="E8" s="376"/>
      <c r="F8" s="360"/>
      <c r="G8" s="360"/>
      <c r="H8" s="360"/>
      <c r="I8" s="360"/>
      <c r="J8" s="361"/>
      <c r="K8" s="355"/>
      <c r="L8" s="371"/>
      <c r="M8" s="372"/>
      <c r="N8" s="377"/>
      <c r="O8" s="378" t="s">
        <v>81</v>
      </c>
      <c r="P8" s="375"/>
    </row>
    <row r="9" spans="1:17" ht="24" customHeight="1" x14ac:dyDescent="0.3">
      <c r="A9" s="9"/>
      <c r="B9" s="10" t="s">
        <v>91</v>
      </c>
      <c r="C9" s="10"/>
      <c r="D9" s="10"/>
      <c r="E9" s="379" t="s">
        <v>59</v>
      </c>
      <c r="F9" s="365"/>
      <c r="G9" s="365"/>
      <c r="H9" s="365"/>
      <c r="I9" s="365"/>
      <c r="J9" s="366"/>
      <c r="K9" s="355"/>
      <c r="L9" s="371"/>
      <c r="M9" s="372"/>
      <c r="N9" s="377" t="s">
        <v>81</v>
      </c>
      <c r="O9" s="378" t="s">
        <v>81</v>
      </c>
      <c r="P9" s="375"/>
    </row>
    <row r="10" spans="1:17" ht="20.399999999999999" customHeight="1" x14ac:dyDescent="0.3">
      <c r="A10" s="9"/>
      <c r="B10" s="10"/>
      <c r="C10" s="10"/>
      <c r="D10" s="10"/>
      <c r="E10" s="10" t="s">
        <v>92</v>
      </c>
      <c r="F10" s="10"/>
      <c r="G10" s="17" t="s">
        <v>93</v>
      </c>
      <c r="H10" s="17"/>
      <c r="I10" s="17"/>
      <c r="J10" s="10"/>
      <c r="K10" s="10"/>
      <c r="L10" s="15"/>
      <c r="M10" s="10"/>
      <c r="N10" s="10" t="s">
        <v>94</v>
      </c>
      <c r="O10" s="10"/>
      <c r="P10" s="13" t="s">
        <v>95</v>
      </c>
    </row>
    <row r="11" spans="1:17" ht="20.399999999999999" customHeight="1" x14ac:dyDescent="0.3">
      <c r="A11" s="9"/>
      <c r="B11" s="10"/>
      <c r="C11" s="10"/>
      <c r="D11" s="10"/>
      <c r="E11" s="219" t="s">
        <v>256</v>
      </c>
      <c r="F11" s="10"/>
      <c r="G11" s="16" t="s">
        <v>96</v>
      </c>
      <c r="H11" s="18"/>
      <c r="I11" s="19"/>
      <c r="J11" s="10"/>
      <c r="K11" s="10"/>
      <c r="L11" s="11"/>
      <c r="M11" s="14"/>
      <c r="N11" s="20">
        <v>44469</v>
      </c>
      <c r="O11" s="10"/>
      <c r="P11" s="128">
        <f>'1-Položky'!A211</f>
        <v>76</v>
      </c>
    </row>
    <row r="12" spans="1:17" ht="13.5" customHeight="1" thickBot="1" x14ac:dyDescent="0.35">
      <c r="A12" s="21"/>
      <c r="B12" s="22"/>
      <c r="C12" s="22"/>
      <c r="D12" s="22"/>
      <c r="E12" s="22"/>
      <c r="F12" s="22"/>
      <c r="G12" s="22"/>
      <c r="H12" s="22"/>
      <c r="I12" s="22"/>
      <c r="J12" s="22"/>
      <c r="K12" s="22"/>
      <c r="L12" s="22"/>
      <c r="M12" s="22"/>
      <c r="N12" s="22"/>
      <c r="O12" s="22"/>
      <c r="P12" s="23"/>
    </row>
    <row r="13" spans="1:17" ht="22.2" customHeight="1" x14ac:dyDescent="0.3">
      <c r="A13" s="24"/>
      <c r="B13" s="25"/>
      <c r="C13" s="25"/>
      <c r="D13" s="25"/>
      <c r="E13" s="25" t="s">
        <v>97</v>
      </c>
      <c r="F13" s="25"/>
      <c r="G13" s="25"/>
      <c r="H13" s="25"/>
      <c r="I13" s="25"/>
      <c r="J13" s="25"/>
      <c r="K13" s="25"/>
      <c r="L13" s="25"/>
      <c r="M13" s="25"/>
      <c r="N13" s="25"/>
      <c r="O13" s="25"/>
      <c r="P13" s="26"/>
    </row>
    <row r="14" spans="1:17" ht="22.2" customHeight="1" x14ac:dyDescent="0.3">
      <c r="A14" s="27"/>
      <c r="B14" s="28"/>
      <c r="C14" s="28"/>
      <c r="D14" s="28"/>
      <c r="E14" s="29" t="s">
        <v>81</v>
      </c>
      <c r="F14" s="28"/>
      <c r="G14" s="30"/>
      <c r="H14" s="28"/>
      <c r="I14" s="28"/>
      <c r="J14" s="29" t="s">
        <v>81</v>
      </c>
      <c r="K14" s="31"/>
      <c r="L14" s="30"/>
      <c r="M14" s="28"/>
      <c r="N14" s="28"/>
      <c r="O14" s="29" t="s">
        <v>81</v>
      </c>
      <c r="P14" s="32"/>
    </row>
    <row r="15" spans="1:17" ht="22.2" customHeight="1" x14ac:dyDescent="0.3">
      <c r="A15" s="33"/>
      <c r="B15" s="34" t="s">
        <v>98</v>
      </c>
      <c r="C15" s="34"/>
      <c r="D15" s="35"/>
      <c r="E15" s="30" t="s">
        <v>0</v>
      </c>
      <c r="F15" s="31"/>
      <c r="G15" s="30"/>
      <c r="H15" s="28" t="s">
        <v>98</v>
      </c>
      <c r="I15" s="31"/>
      <c r="J15" s="30" t="s">
        <v>0</v>
      </c>
      <c r="K15" s="31"/>
      <c r="L15" s="30"/>
      <c r="M15" s="28" t="s">
        <v>98</v>
      </c>
      <c r="N15" s="28"/>
      <c r="O15" s="30" t="s">
        <v>0</v>
      </c>
      <c r="P15" s="36"/>
    </row>
    <row r="16" spans="1:17" ht="22.2" customHeight="1" thickBot="1" x14ac:dyDescent="0.35">
      <c r="A16" s="37"/>
      <c r="B16" s="38"/>
      <c r="C16" s="38"/>
      <c r="D16" s="39"/>
      <c r="E16" s="40"/>
      <c r="F16" s="41"/>
      <c r="G16" s="42"/>
      <c r="H16" s="38"/>
      <c r="I16" s="39"/>
      <c r="J16" s="40"/>
      <c r="K16" s="41"/>
      <c r="L16" s="42"/>
      <c r="M16" s="38"/>
      <c r="N16" s="43"/>
      <c r="O16" s="42"/>
      <c r="P16" s="44"/>
    </row>
    <row r="17" spans="1:18" s="45" customFormat="1" ht="39" customHeight="1" thickBot="1" x14ac:dyDescent="0.35">
      <c r="A17" s="427" t="s">
        <v>1</v>
      </c>
      <c r="B17" s="428"/>
      <c r="C17" s="428"/>
      <c r="D17" s="428"/>
      <c r="E17" s="428"/>
      <c r="F17" s="428"/>
      <c r="G17" s="428"/>
      <c r="H17" s="428"/>
      <c r="I17" s="428"/>
      <c r="J17" s="428"/>
      <c r="K17" s="428"/>
      <c r="L17" s="428"/>
      <c r="M17" s="428"/>
      <c r="N17" s="428"/>
      <c r="O17" s="428"/>
      <c r="P17" s="429"/>
    </row>
    <row r="18" spans="1:18" ht="25.5" customHeight="1" x14ac:dyDescent="0.3">
      <c r="A18" s="46" t="s">
        <v>2</v>
      </c>
      <c r="B18" s="47"/>
      <c r="C18" s="48" t="s">
        <v>3</v>
      </c>
      <c r="D18" s="49"/>
      <c r="E18" s="49"/>
      <c r="F18" s="50"/>
      <c r="G18" s="46" t="s">
        <v>4</v>
      </c>
      <c r="H18" s="51"/>
      <c r="I18" s="48" t="s">
        <v>5</v>
      </c>
      <c r="J18" s="49"/>
      <c r="K18" s="50"/>
      <c r="L18" s="46" t="s">
        <v>6</v>
      </c>
      <c r="M18" s="52"/>
      <c r="N18" s="48" t="s">
        <v>7</v>
      </c>
      <c r="O18" s="49"/>
      <c r="P18" s="50"/>
    </row>
    <row r="19" spans="1:18" ht="23.25" customHeight="1" x14ac:dyDescent="0.3">
      <c r="A19" s="53">
        <v>1</v>
      </c>
      <c r="B19" s="430" t="s">
        <v>8</v>
      </c>
      <c r="C19" s="431"/>
      <c r="D19" s="54" t="s">
        <v>9</v>
      </c>
      <c r="E19" s="434">
        <f>'1-Rekapitulace'!F26-E21-E23</f>
        <v>0</v>
      </c>
      <c r="F19" s="193"/>
      <c r="G19" s="53">
        <v>8</v>
      </c>
      <c r="H19" s="57" t="s">
        <v>10</v>
      </c>
      <c r="I19" s="58"/>
      <c r="J19" s="59"/>
      <c r="K19" s="56"/>
      <c r="L19" s="53">
        <v>13</v>
      </c>
      <c r="M19" s="60" t="s">
        <v>11</v>
      </c>
      <c r="N19" s="58"/>
      <c r="O19" s="61">
        <v>2.4E-2</v>
      </c>
      <c r="P19" s="62">
        <f>O19*(E25+J25)</f>
        <v>0</v>
      </c>
    </row>
    <row r="20" spans="1:18" ht="23.25" customHeight="1" x14ac:dyDescent="0.3">
      <c r="A20" s="53">
        <v>2</v>
      </c>
      <c r="B20" s="432"/>
      <c r="C20" s="433"/>
      <c r="D20" s="54" t="s">
        <v>12</v>
      </c>
      <c r="E20" s="435"/>
      <c r="F20" s="194"/>
      <c r="G20" s="53">
        <v>9</v>
      </c>
      <c r="H20" s="57" t="s">
        <v>13</v>
      </c>
      <c r="I20" s="58"/>
      <c r="J20" s="59"/>
      <c r="K20" s="56"/>
      <c r="L20" s="53">
        <v>14</v>
      </c>
      <c r="M20" s="60" t="s">
        <v>14</v>
      </c>
      <c r="N20" s="58"/>
      <c r="O20" s="61">
        <v>0</v>
      </c>
      <c r="P20" s="62">
        <f>O20*(E25+J25)</f>
        <v>0</v>
      </c>
    </row>
    <row r="21" spans="1:18" ht="23.25" customHeight="1" x14ac:dyDescent="0.3">
      <c r="A21" s="53">
        <v>3</v>
      </c>
      <c r="B21" s="430" t="s">
        <v>15</v>
      </c>
      <c r="C21" s="431"/>
      <c r="D21" s="54" t="s">
        <v>9</v>
      </c>
      <c r="E21" s="434">
        <f>'1-Rekapitulace'!E11</f>
        <v>0</v>
      </c>
      <c r="F21" s="193"/>
      <c r="G21" s="53">
        <v>10</v>
      </c>
      <c r="H21" s="57" t="s">
        <v>16</v>
      </c>
      <c r="I21" s="58"/>
      <c r="J21" s="59"/>
      <c r="K21" s="56"/>
      <c r="L21" s="53">
        <v>15</v>
      </c>
      <c r="M21" s="60" t="s">
        <v>17</v>
      </c>
      <c r="N21" s="58"/>
      <c r="O21" s="61">
        <v>1.6E-2</v>
      </c>
      <c r="P21" s="62">
        <f>O21*(E25+J25)</f>
        <v>0</v>
      </c>
    </row>
    <row r="22" spans="1:18" s="66" customFormat="1" ht="23.25" customHeight="1" x14ac:dyDescent="0.3">
      <c r="A22" s="53">
        <v>4</v>
      </c>
      <c r="B22" s="432"/>
      <c r="C22" s="433"/>
      <c r="D22" s="54" t="s">
        <v>12</v>
      </c>
      <c r="E22" s="435"/>
      <c r="F22" s="194"/>
      <c r="G22" s="53">
        <v>11</v>
      </c>
      <c r="H22" s="63"/>
      <c r="I22" s="64"/>
      <c r="J22" s="65"/>
      <c r="K22" s="56"/>
      <c r="L22" s="53">
        <v>16</v>
      </c>
      <c r="M22" s="241" t="s">
        <v>297</v>
      </c>
      <c r="N22" s="58"/>
      <c r="O22" s="61">
        <v>0.03</v>
      </c>
      <c r="P22" s="62">
        <f>O22*(E25+J25)</f>
        <v>0</v>
      </c>
    </row>
    <row r="23" spans="1:18" s="66" customFormat="1" ht="23.25" customHeight="1" x14ac:dyDescent="0.3">
      <c r="A23" s="53">
        <v>5</v>
      </c>
      <c r="B23" s="430" t="s">
        <v>18</v>
      </c>
      <c r="C23" s="431"/>
      <c r="D23" s="54" t="s">
        <v>9</v>
      </c>
      <c r="E23" s="434"/>
      <c r="F23" s="193"/>
      <c r="G23" s="437"/>
      <c r="H23" s="438"/>
      <c r="I23" s="439"/>
      <c r="J23" s="55"/>
      <c r="K23" s="56"/>
      <c r="L23" s="53">
        <v>17</v>
      </c>
      <c r="M23" s="241" t="s">
        <v>107</v>
      </c>
      <c r="N23" s="67"/>
      <c r="O23" s="61">
        <v>0.06</v>
      </c>
      <c r="P23" s="62">
        <f>O23*(E25+J25)</f>
        <v>0</v>
      </c>
      <c r="R23" s="97"/>
    </row>
    <row r="24" spans="1:18" ht="23.25" customHeight="1" thickBot="1" x14ac:dyDescent="0.35">
      <c r="A24" s="53">
        <v>6</v>
      </c>
      <c r="B24" s="432"/>
      <c r="C24" s="433"/>
      <c r="D24" s="54" t="s">
        <v>12</v>
      </c>
      <c r="E24" s="436"/>
      <c r="F24" s="195"/>
      <c r="G24" s="440"/>
      <c r="H24" s="441"/>
      <c r="I24" s="442"/>
      <c r="J24" s="59"/>
      <c r="K24" s="56"/>
      <c r="L24" s="53">
        <v>18</v>
      </c>
      <c r="M24" s="57" t="s">
        <v>19</v>
      </c>
      <c r="N24" s="67"/>
      <c r="O24" s="67"/>
      <c r="P24" s="62"/>
    </row>
    <row r="25" spans="1:18" ht="23.25" customHeight="1" thickBot="1" x14ac:dyDescent="0.35">
      <c r="A25" s="53">
        <v>7</v>
      </c>
      <c r="B25" s="68" t="s">
        <v>20</v>
      </c>
      <c r="C25" s="67"/>
      <c r="D25" s="58"/>
      <c r="E25" s="69">
        <f>SUM(E19:E24)</f>
        <v>0</v>
      </c>
      <c r="F25" s="70"/>
      <c r="G25" s="53">
        <v>12</v>
      </c>
      <c r="H25" s="68" t="s">
        <v>21</v>
      </c>
      <c r="I25" s="58"/>
      <c r="J25" s="71">
        <f>SUM(J19:J24)</f>
        <v>0</v>
      </c>
      <c r="K25" s="70"/>
      <c r="L25" s="53">
        <v>19</v>
      </c>
      <c r="M25" s="68" t="s">
        <v>22</v>
      </c>
      <c r="N25" s="67"/>
      <c r="O25" s="67"/>
      <c r="P25" s="72">
        <f>SUM(P19:P24)</f>
        <v>0</v>
      </c>
      <c r="R25" s="73"/>
    </row>
    <row r="26" spans="1:18" ht="23.25" customHeight="1" thickBot="1" x14ac:dyDescent="0.35">
      <c r="A26" s="74">
        <v>20</v>
      </c>
      <c r="B26" s="75" t="s">
        <v>23</v>
      </c>
      <c r="C26" s="76"/>
      <c r="D26" s="77"/>
      <c r="E26" s="78"/>
      <c r="F26" s="44"/>
      <c r="G26" s="74">
        <v>21</v>
      </c>
      <c r="H26" s="75" t="s">
        <v>24</v>
      </c>
      <c r="I26" s="77"/>
      <c r="J26" s="79">
        <v>0</v>
      </c>
      <c r="K26" s="44"/>
      <c r="L26" s="74">
        <v>22</v>
      </c>
      <c r="M26" s="75" t="s">
        <v>25</v>
      </c>
      <c r="N26" s="76"/>
      <c r="O26" s="76"/>
      <c r="P26" s="80">
        <v>0</v>
      </c>
      <c r="R26" s="73"/>
    </row>
    <row r="27" spans="1:18" ht="23.25" customHeight="1" thickBot="1" x14ac:dyDescent="0.35">
      <c r="A27" s="380" t="s">
        <v>90</v>
      </c>
      <c r="B27" s="381"/>
      <c r="C27" s="381"/>
      <c r="D27" s="381"/>
      <c r="E27" s="382"/>
      <c r="F27" s="383"/>
      <c r="G27" s="384"/>
      <c r="H27" s="382"/>
      <c r="I27" s="381"/>
      <c r="J27" s="382"/>
      <c r="K27" s="81"/>
      <c r="L27" s="46" t="s">
        <v>26</v>
      </c>
      <c r="M27" s="82"/>
      <c r="N27" s="48" t="s">
        <v>27</v>
      </c>
      <c r="O27" s="49"/>
      <c r="P27" s="83"/>
    </row>
    <row r="28" spans="1:18" ht="23.25" customHeight="1" thickBot="1" x14ac:dyDescent="0.35">
      <c r="A28" s="385"/>
      <c r="B28" s="386"/>
      <c r="C28" s="386"/>
      <c r="D28" s="386"/>
      <c r="E28" s="386"/>
      <c r="F28" s="387"/>
      <c r="G28" s="388"/>
      <c r="H28" s="386"/>
      <c r="I28" s="386"/>
      <c r="J28" s="389"/>
      <c r="K28" s="84"/>
      <c r="L28" s="53">
        <v>23</v>
      </c>
      <c r="M28" s="57" t="s">
        <v>28</v>
      </c>
      <c r="N28" s="67"/>
      <c r="O28" s="67"/>
      <c r="P28" s="99">
        <f>P25+J25+E25+J26+P26+E26</f>
        <v>0</v>
      </c>
      <c r="Q28" s="85"/>
    </row>
    <row r="29" spans="1:18" ht="23.25" customHeight="1" x14ac:dyDescent="0.3">
      <c r="A29" s="390" t="s">
        <v>29</v>
      </c>
      <c r="B29" s="391"/>
      <c r="C29" s="391"/>
      <c r="D29" s="391"/>
      <c r="E29" s="392">
        <f>N11</f>
        <v>44469</v>
      </c>
      <c r="F29" s="393"/>
      <c r="G29" s="394" t="s">
        <v>30</v>
      </c>
      <c r="H29" s="391"/>
      <c r="I29" s="391"/>
      <c r="J29" s="395"/>
      <c r="K29" s="86"/>
      <c r="L29" s="53">
        <v>24</v>
      </c>
      <c r="M29" s="87">
        <v>0.15</v>
      </c>
      <c r="N29" s="350">
        <f>P28-N30</f>
        <v>0</v>
      </c>
      <c r="O29" s="89" t="s">
        <v>73</v>
      </c>
      <c r="P29" s="62">
        <f>N29*M29</f>
        <v>0</v>
      </c>
      <c r="Q29" s="90"/>
    </row>
    <row r="30" spans="1:18" ht="23.25" customHeight="1" thickBot="1" x14ac:dyDescent="0.35">
      <c r="A30" s="396" t="s">
        <v>31</v>
      </c>
      <c r="B30" s="386"/>
      <c r="C30" s="386"/>
      <c r="D30" s="386"/>
      <c r="E30" s="386"/>
      <c r="F30" s="387"/>
      <c r="G30" s="397"/>
      <c r="H30" s="386"/>
      <c r="I30" s="386"/>
      <c r="J30" s="386"/>
      <c r="K30" s="91"/>
      <c r="L30" s="53">
        <v>25</v>
      </c>
      <c r="M30" s="87">
        <v>0.21</v>
      </c>
      <c r="N30" s="350">
        <f>P28</f>
        <v>0</v>
      </c>
      <c r="O30" s="89" t="s">
        <v>73</v>
      </c>
      <c r="P30" s="62">
        <f>N30*M30</f>
        <v>0</v>
      </c>
    </row>
    <row r="31" spans="1:18" ht="23.25" customHeight="1" thickTop="1" thickBot="1" x14ac:dyDescent="0.35">
      <c r="A31" s="398"/>
      <c r="B31" s="386"/>
      <c r="C31" s="386"/>
      <c r="D31" s="386"/>
      <c r="E31" s="372"/>
      <c r="F31" s="387"/>
      <c r="G31" s="372"/>
      <c r="H31" s="386"/>
      <c r="I31" s="386"/>
      <c r="J31" s="389"/>
      <c r="K31" s="91"/>
      <c r="L31" s="74">
        <v>26</v>
      </c>
      <c r="M31" s="92" t="s">
        <v>32</v>
      </c>
      <c r="N31" s="76"/>
      <c r="O31" s="77"/>
      <c r="P31" s="98">
        <f>SUM(P28:P30)</f>
        <v>0</v>
      </c>
    </row>
    <row r="32" spans="1:18" ht="23.25" customHeight="1" x14ac:dyDescent="0.3">
      <c r="A32" s="399" t="s">
        <v>29</v>
      </c>
      <c r="B32" s="386"/>
      <c r="C32" s="386"/>
      <c r="D32" s="386"/>
      <c r="E32" s="386"/>
      <c r="F32" s="387"/>
      <c r="G32" s="400" t="s">
        <v>30</v>
      </c>
      <c r="H32" s="386"/>
      <c r="I32" s="386"/>
      <c r="J32" s="386"/>
      <c r="K32" s="91"/>
      <c r="L32" s="46" t="s">
        <v>33</v>
      </c>
      <c r="M32" s="82"/>
      <c r="N32" s="48" t="s">
        <v>118</v>
      </c>
      <c r="O32" s="49"/>
      <c r="P32" s="83"/>
    </row>
    <row r="33" spans="1:17" ht="23.25" customHeight="1" x14ac:dyDescent="0.3">
      <c r="A33" s="401" t="s">
        <v>91</v>
      </c>
      <c r="B33" s="402"/>
      <c r="C33" s="402"/>
      <c r="D33" s="402"/>
      <c r="E33" s="402"/>
      <c r="F33" s="403"/>
      <c r="G33" s="404"/>
      <c r="H33" s="402"/>
      <c r="I33" s="402"/>
      <c r="J33" s="402"/>
      <c r="K33" s="93"/>
      <c r="L33" s="53">
        <v>27</v>
      </c>
      <c r="M33" s="287">
        <v>0</v>
      </c>
      <c r="N33" s="88">
        <f>P31</f>
        <v>0</v>
      </c>
      <c r="O33" s="89" t="s">
        <v>73</v>
      </c>
      <c r="P33" s="62">
        <f>N33*M33</f>
        <v>0</v>
      </c>
    </row>
    <row r="34" spans="1:17" ht="23.25" customHeight="1" thickBot="1" x14ac:dyDescent="0.35">
      <c r="A34" s="405"/>
      <c r="B34" s="386"/>
      <c r="C34" s="386"/>
      <c r="D34" s="386"/>
      <c r="E34" s="386"/>
      <c r="F34" s="387"/>
      <c r="G34" s="388"/>
      <c r="H34" s="386"/>
      <c r="I34" s="386"/>
      <c r="J34" s="386"/>
      <c r="K34" s="94"/>
      <c r="L34" s="53">
        <v>28</v>
      </c>
      <c r="M34" s="57" t="s">
        <v>34</v>
      </c>
      <c r="N34" s="67"/>
      <c r="O34" s="67"/>
      <c r="P34" s="62"/>
      <c r="Q34" s="95"/>
    </row>
    <row r="35" spans="1:17" ht="23.25" customHeight="1" thickTop="1" thickBot="1" x14ac:dyDescent="0.35">
      <c r="A35" s="406" t="s">
        <v>29</v>
      </c>
      <c r="B35" s="407"/>
      <c r="C35" s="407"/>
      <c r="D35" s="407"/>
      <c r="E35" s="408"/>
      <c r="F35" s="409"/>
      <c r="G35" s="410" t="s">
        <v>30</v>
      </c>
      <c r="H35" s="407"/>
      <c r="I35" s="407"/>
      <c r="J35" s="407"/>
      <c r="K35" s="96"/>
      <c r="L35" s="74">
        <v>29</v>
      </c>
      <c r="M35" s="92" t="s">
        <v>35</v>
      </c>
      <c r="N35" s="76"/>
      <c r="O35" s="77"/>
      <c r="P35" s="98">
        <f>SUM(P31:P34)</f>
        <v>0</v>
      </c>
    </row>
  </sheetData>
  <sheetProtection algorithmName="SHA-512" hashValue="+ZTT5QyyAt5ysWN7vwSt/uYy0yahapsHsqkTvEQQRvOwf3xL7CmoT4354siG3cusp6Vl1ydJ6JhixGxo6js+HA==" saltValue="31bzYcXioOewD5syOT7vTw==" spinCount="100000" sheet="1" objects="1" scenarios="1"/>
  <mergeCells count="9">
    <mergeCell ref="A17:P17"/>
    <mergeCell ref="B19:C20"/>
    <mergeCell ref="B21:C22"/>
    <mergeCell ref="B23:C24"/>
    <mergeCell ref="E19:E20"/>
    <mergeCell ref="E21:E22"/>
    <mergeCell ref="E23:E24"/>
    <mergeCell ref="G23:I23"/>
    <mergeCell ref="G24:I24"/>
  </mergeCells>
  <phoneticPr fontId="12" type="noConversion"/>
  <pageMargins left="0.70866141732283472" right="0.19685039370078741" top="0.59055118110236227" bottom="0.59055118110236227" header="0" footer="0"/>
  <pageSetup paperSize="9" scale="94" orientation="portrait" blackAndWhite="1" r:id="rId1"/>
  <headerFooter alignWithMargins="0">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1"/>
  </sheetPr>
  <dimension ref="A1:L29"/>
  <sheetViews>
    <sheetView view="pageBreakPreview" zoomScale="145" zoomScaleNormal="125" zoomScaleSheetLayoutView="145" workbookViewId="0">
      <selection activeCell="J28" sqref="J28"/>
    </sheetView>
  </sheetViews>
  <sheetFormatPr defaultColWidth="9.07421875" defaultRowHeight="12.9" x14ac:dyDescent="0.3"/>
  <cols>
    <col min="1" max="1" width="1.3046875" style="105" customWidth="1"/>
    <col min="2" max="2" width="32.4609375" style="322" customWidth="1"/>
    <col min="3" max="3" width="4.69140625" style="311" customWidth="1"/>
    <col min="4" max="4" width="4.3046875" style="312" customWidth="1"/>
    <col min="5" max="5" width="12.07421875" style="313" bestFit="1" customWidth="1"/>
    <col min="6" max="6" width="13.4609375" style="323" customWidth="1"/>
    <col min="7" max="7" width="9.69140625" style="312" customWidth="1"/>
    <col min="8" max="8" width="9.69140625" style="313" customWidth="1"/>
    <col min="9" max="9" width="2" style="313" customWidth="1"/>
    <col min="10" max="16384" width="9.07421875" style="312"/>
  </cols>
  <sheetData>
    <row r="1" spans="1:12" ht="20.149999999999999" x14ac:dyDescent="0.3">
      <c r="B1" s="310" t="s">
        <v>99</v>
      </c>
      <c r="F1" s="314"/>
    </row>
    <row r="2" spans="1:12" x14ac:dyDescent="0.3">
      <c r="A2" s="311"/>
      <c r="B2" s="312"/>
      <c r="C2" s="312"/>
      <c r="E2" s="312"/>
      <c r="F2" s="314" t="str">
        <f>'1-Krycí list'!E4</f>
        <v>Měšťanský dům č.p. 274, rejst. č. ÚSKP ČR 35632/6-3949</v>
      </c>
    </row>
    <row r="3" spans="1:12" s="320" customFormat="1" ht="3.9" x14ac:dyDescent="0.3">
      <c r="A3" s="315"/>
      <c r="B3" s="316"/>
      <c r="C3" s="317"/>
      <c r="D3" s="317"/>
      <c r="E3" s="318"/>
      <c r="F3" s="319"/>
      <c r="H3" s="321"/>
      <c r="I3" s="321"/>
    </row>
    <row r="4" spans="1:12" s="113" customFormat="1" ht="11.6" x14ac:dyDescent="0.3">
      <c r="A4" s="112"/>
      <c r="B4" s="106" t="s">
        <v>240</v>
      </c>
      <c r="C4" s="120"/>
      <c r="D4" s="121"/>
      <c r="E4" s="100">
        <f>SUM(F5:F5)</f>
        <v>0</v>
      </c>
      <c r="F4" s="126"/>
      <c r="H4" s="114"/>
      <c r="I4" s="114"/>
    </row>
    <row r="5" spans="1:12" s="107" customFormat="1" ht="11.6" x14ac:dyDescent="0.3">
      <c r="A5" s="105"/>
      <c r="B5" s="109" t="s">
        <v>239</v>
      </c>
      <c r="C5" s="110"/>
      <c r="D5" s="111"/>
      <c r="E5" s="101"/>
      <c r="F5" s="124">
        <f>'1-Položky'!J7</f>
        <v>0</v>
      </c>
      <c r="H5" s="108"/>
      <c r="I5" s="108"/>
    </row>
    <row r="6" spans="1:12" s="113" customFormat="1" ht="11.6" x14ac:dyDescent="0.3">
      <c r="A6" s="112"/>
      <c r="B6" s="258" t="s">
        <v>103</v>
      </c>
      <c r="C6" s="259"/>
      <c r="D6" s="260"/>
      <c r="E6" s="261">
        <f>SUM(F7:F7)</f>
        <v>0</v>
      </c>
      <c r="F6" s="262"/>
      <c r="H6" s="114"/>
      <c r="I6" s="114"/>
    </row>
    <row r="7" spans="1:12" s="107" customFormat="1" ht="11.6" x14ac:dyDescent="0.3">
      <c r="A7" s="105"/>
      <c r="B7" s="109" t="s">
        <v>104</v>
      </c>
      <c r="C7" s="110"/>
      <c r="D7" s="111"/>
      <c r="E7" s="101"/>
      <c r="F7" s="124">
        <f>'1-Položky'!J16</f>
        <v>0</v>
      </c>
      <c r="H7" s="108"/>
      <c r="I7" s="108"/>
    </row>
    <row r="8" spans="1:12" s="113" customFormat="1" ht="11.6" x14ac:dyDescent="0.3">
      <c r="A8" s="112"/>
      <c r="B8" s="258" t="s">
        <v>115</v>
      </c>
      <c r="C8" s="259"/>
      <c r="D8" s="260"/>
      <c r="E8" s="261">
        <f>SUM(F9)</f>
        <v>0</v>
      </c>
      <c r="F8" s="262"/>
      <c r="H8" s="114"/>
      <c r="I8" s="114"/>
    </row>
    <row r="9" spans="1:12" s="107" customFormat="1" ht="11.6" x14ac:dyDescent="0.3">
      <c r="A9" s="105"/>
      <c r="B9" s="115" t="s">
        <v>116</v>
      </c>
      <c r="C9" s="116"/>
      <c r="D9" s="117"/>
      <c r="E9" s="102"/>
      <c r="F9" s="125">
        <f>'1-Položky'!J39</f>
        <v>0</v>
      </c>
      <c r="H9" s="108"/>
      <c r="I9" s="108"/>
    </row>
    <row r="10" spans="1:12" s="198" customFormat="1" ht="3" x14ac:dyDescent="0.3">
      <c r="A10" s="196"/>
      <c r="B10" s="197"/>
      <c r="C10" s="196"/>
      <c r="E10" s="199"/>
      <c r="F10" s="199"/>
      <c r="H10" s="199"/>
      <c r="I10" s="199"/>
    </row>
    <row r="11" spans="1:12" s="113" customFormat="1" ht="11.6" x14ac:dyDescent="0.3">
      <c r="A11" s="112"/>
      <c r="B11" s="106" t="s">
        <v>68</v>
      </c>
      <c r="C11" s="120"/>
      <c r="D11" s="121"/>
      <c r="E11" s="100">
        <f>SUM(F12:F15)</f>
        <v>0</v>
      </c>
      <c r="F11" s="126"/>
      <c r="H11" s="114"/>
      <c r="I11" s="114"/>
    </row>
    <row r="12" spans="1:12" s="107" customFormat="1" ht="11.6" x14ac:dyDescent="0.3">
      <c r="A12" s="105"/>
      <c r="B12" s="109" t="s">
        <v>60</v>
      </c>
      <c r="C12" s="110"/>
      <c r="D12" s="111"/>
      <c r="E12" s="101"/>
      <c r="F12" s="124">
        <f>SUM(E13:E13)</f>
        <v>0</v>
      </c>
      <c r="G12" s="113"/>
      <c r="H12" s="114"/>
      <c r="I12" s="114"/>
      <c r="J12" s="113"/>
      <c r="K12" s="113"/>
      <c r="L12" s="113"/>
    </row>
    <row r="13" spans="1:12" s="107" customFormat="1" ht="11.6" x14ac:dyDescent="0.3">
      <c r="A13" s="105"/>
      <c r="B13" s="118" t="s">
        <v>198</v>
      </c>
      <c r="C13" s="110"/>
      <c r="D13" s="111"/>
      <c r="E13" s="103">
        <f>'1-Položky'!J129</f>
        <v>0</v>
      </c>
      <c r="F13" s="124"/>
      <c r="H13" s="108"/>
      <c r="I13" s="108"/>
    </row>
    <row r="14" spans="1:12" s="107" customFormat="1" ht="11.6" x14ac:dyDescent="0.3">
      <c r="A14" s="105"/>
      <c r="B14" s="109" t="s">
        <v>62</v>
      </c>
      <c r="C14" s="110"/>
      <c r="D14" s="111"/>
      <c r="E14" s="103"/>
      <c r="F14" s="124">
        <f>SUM(E15:E15)</f>
        <v>0</v>
      </c>
      <c r="G14" s="113"/>
      <c r="H14" s="114"/>
      <c r="I14" s="114"/>
    </row>
    <row r="15" spans="1:12" s="107" customFormat="1" ht="11.6" x14ac:dyDescent="0.3">
      <c r="A15" s="105"/>
      <c r="B15" s="119" t="s">
        <v>61</v>
      </c>
      <c r="C15" s="116"/>
      <c r="D15" s="117"/>
      <c r="E15" s="104">
        <f>'1-Položky'!J153</f>
        <v>0</v>
      </c>
      <c r="F15" s="125"/>
      <c r="H15" s="108"/>
      <c r="I15" s="108"/>
    </row>
    <row r="16" spans="1:12" s="198" customFormat="1" ht="3" x14ac:dyDescent="0.3">
      <c r="A16" s="196"/>
      <c r="B16" s="197"/>
      <c r="C16" s="196"/>
      <c r="E16" s="199"/>
      <c r="F16" s="199"/>
      <c r="H16" s="199"/>
      <c r="I16" s="199"/>
    </row>
    <row r="17" spans="1:9" s="113" customFormat="1" ht="11.6" x14ac:dyDescent="0.3">
      <c r="A17" s="112"/>
      <c r="B17" s="106" t="s">
        <v>69</v>
      </c>
      <c r="C17" s="120"/>
      <c r="D17" s="121"/>
      <c r="E17" s="100">
        <f>SUM(F18:F24)</f>
        <v>0</v>
      </c>
      <c r="F17" s="126"/>
      <c r="H17" s="114"/>
      <c r="I17" s="114"/>
    </row>
    <row r="18" spans="1:9" s="107" customFormat="1" ht="11.6" x14ac:dyDescent="0.3">
      <c r="A18" s="105"/>
      <c r="B18" s="109" t="s">
        <v>111</v>
      </c>
      <c r="C18" s="110"/>
      <c r="D18" s="111"/>
      <c r="E18" s="101"/>
      <c r="F18" s="124">
        <f>'1-Položky'!J160</f>
        <v>0</v>
      </c>
      <c r="H18" s="108"/>
      <c r="I18" s="108"/>
    </row>
    <row r="19" spans="1:9" s="107" customFormat="1" ht="11.6" x14ac:dyDescent="0.3">
      <c r="A19" s="105"/>
      <c r="B19" s="109" t="s">
        <v>138</v>
      </c>
      <c r="C19" s="110"/>
      <c r="D19" s="111"/>
      <c r="E19" s="101"/>
      <c r="F19" s="124">
        <f>'1-Položky'!J170</f>
        <v>0</v>
      </c>
      <c r="H19" s="108"/>
      <c r="I19" s="108"/>
    </row>
    <row r="20" spans="1:9" s="107" customFormat="1" ht="11.6" x14ac:dyDescent="0.3">
      <c r="A20" s="105"/>
      <c r="B20" s="109" t="s">
        <v>71</v>
      </c>
      <c r="C20" s="110"/>
      <c r="D20" s="111"/>
      <c r="E20" s="101"/>
      <c r="F20" s="124">
        <f>'1-Položky'!J184</f>
        <v>0</v>
      </c>
      <c r="H20" s="108"/>
      <c r="I20" s="108"/>
    </row>
    <row r="21" spans="1:9" s="107" customFormat="1" ht="11.6" x14ac:dyDescent="0.3">
      <c r="A21" s="105"/>
      <c r="B21" s="109" t="s">
        <v>117</v>
      </c>
      <c r="C21" s="110"/>
      <c r="D21" s="111"/>
      <c r="E21" s="101"/>
      <c r="F21" s="124">
        <f>'1-Položky'!J187</f>
        <v>0</v>
      </c>
      <c r="H21" s="108"/>
      <c r="I21" s="108"/>
    </row>
    <row r="22" spans="1:9" s="107" customFormat="1" ht="11.6" x14ac:dyDescent="0.3">
      <c r="A22" s="105"/>
      <c r="B22" s="109" t="s">
        <v>70</v>
      </c>
      <c r="C22" s="110"/>
      <c r="D22" s="111"/>
      <c r="E22" s="101"/>
      <c r="F22" s="124">
        <f>SUM(E23:E24)</f>
        <v>0</v>
      </c>
      <c r="H22" s="108"/>
      <c r="I22" s="108"/>
    </row>
    <row r="23" spans="1:9" s="107" customFormat="1" ht="11.6" x14ac:dyDescent="0.3">
      <c r="A23" s="105"/>
      <c r="B23" s="118" t="s">
        <v>63</v>
      </c>
      <c r="C23" s="110"/>
      <c r="D23" s="111"/>
      <c r="E23" s="103">
        <f>'1-Položky'!J202</f>
        <v>0</v>
      </c>
      <c r="F23" s="124"/>
      <c r="H23" s="108"/>
      <c r="I23" s="108"/>
    </row>
    <row r="24" spans="1:9" s="107" customFormat="1" ht="11.6" x14ac:dyDescent="0.3">
      <c r="A24" s="105"/>
      <c r="B24" s="119" t="s">
        <v>64</v>
      </c>
      <c r="C24" s="116"/>
      <c r="D24" s="117"/>
      <c r="E24" s="104">
        <f>'1-Položky'!J210</f>
        <v>0</v>
      </c>
      <c r="F24" s="125"/>
      <c r="H24" s="122"/>
      <c r="I24" s="122"/>
    </row>
    <row r="25" spans="1:9" s="198" customFormat="1" ht="3.45" thickBot="1" x14ac:dyDescent="0.35">
      <c r="A25" s="196"/>
      <c r="B25" s="197"/>
      <c r="C25" s="196"/>
      <c r="E25" s="199"/>
      <c r="F25" s="199"/>
      <c r="H25" s="199"/>
      <c r="I25" s="199"/>
    </row>
    <row r="26" spans="1:9" s="113" customFormat="1" ht="18" customHeight="1" thickBot="1" x14ac:dyDescent="0.35">
      <c r="A26" s="112"/>
      <c r="B26" s="280" t="s">
        <v>72</v>
      </c>
      <c r="C26" s="281"/>
      <c r="D26" s="282"/>
      <c r="E26" s="283"/>
      <c r="F26" s="284">
        <f>SUM(F3:F25)</f>
        <v>0</v>
      </c>
      <c r="G26" s="304">
        <f>'1-Krycí list'!E25</f>
        <v>0</v>
      </c>
      <c r="H26" s="304">
        <f>F26</f>
        <v>0</v>
      </c>
      <c r="I26" s="184"/>
    </row>
    <row r="27" spans="1:9" x14ac:dyDescent="0.3">
      <c r="G27" s="324"/>
      <c r="H27" s="304">
        <f>'1-Položky'!J213</f>
        <v>0</v>
      </c>
    </row>
    <row r="28" spans="1:9" ht="107.4" customHeight="1" x14ac:dyDescent="0.3">
      <c r="B28" s="443" t="s">
        <v>254</v>
      </c>
      <c r="C28" s="444"/>
      <c r="D28" s="444"/>
      <c r="E28" s="444"/>
      <c r="F28" s="444"/>
    </row>
    <row r="29" spans="1:9" s="326" customFormat="1" ht="170.25" customHeight="1" x14ac:dyDescent="0.3">
      <c r="A29" s="325"/>
      <c r="B29" s="443" t="s">
        <v>255</v>
      </c>
      <c r="C29" s="444"/>
      <c r="D29" s="444"/>
      <c r="E29" s="444"/>
      <c r="F29" s="444"/>
      <c r="H29" s="327"/>
      <c r="I29" s="327"/>
    </row>
  </sheetData>
  <sheetProtection algorithmName="SHA-512" hashValue="Yi7IPm5rHng7UCEiXM6GQGOFvwGAnBYLP0gdZlhc8qdxuYSkZZNWQK6kkQ6SwMKkyplCisb8J4qmKbAJ/wsp/g==" saltValue="BtH9vTu5AFnZO1ObTnmmWQ==" spinCount="100000" sheet="1" objects="1" scenarios="1"/>
  <mergeCells count="2">
    <mergeCell ref="B28:F28"/>
    <mergeCell ref="B29:F29"/>
  </mergeCells>
  <phoneticPr fontId="0" type="noConversion"/>
  <pageMargins left="0.6692913385826772" right="0.31496062992125984" top="0.47244094488188981" bottom="0.31496062992125984" header="0" footer="0"/>
  <pageSetup paperSize="9" scale="130" orientation="portrait" verticalDpi="300" r:id="rId1"/>
  <headerFooter alignWithMargins="0">
    <oddFooter>&amp;C&amp;6&amp;A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42"/>
  </sheetPr>
  <dimension ref="A1:O216"/>
  <sheetViews>
    <sheetView view="pageBreakPreview" topLeftCell="A220" zoomScale="160" zoomScaleSheetLayoutView="160" workbookViewId="0">
      <selection activeCell="L25" sqref="L25"/>
    </sheetView>
  </sheetViews>
  <sheetFormatPr defaultColWidth="9.07421875" defaultRowHeight="12.9" x14ac:dyDescent="0.3"/>
  <cols>
    <col min="1" max="1" width="3.3046875" style="177" customWidth="1"/>
    <col min="2" max="2" width="3.69140625" style="139" hidden="1" customWidth="1"/>
    <col min="3" max="3" width="8.07421875" style="129" customWidth="1"/>
    <col min="4" max="4" width="49.3046875" style="178" customWidth="1"/>
    <col min="5" max="5" width="4.3046875" style="179" customWidth="1"/>
    <col min="6" max="6" width="10.07421875" style="139" bestFit="1" customWidth="1"/>
    <col min="7" max="7" width="12.07421875" style="180" bestFit="1" customWidth="1"/>
    <col min="8" max="8" width="6.53515625" style="180" hidden="1" customWidth="1"/>
    <col min="9" max="9" width="11.3046875" style="180" hidden="1" customWidth="1"/>
    <col min="10" max="10" width="12.4609375" style="181" bestFit="1" customWidth="1"/>
    <col min="11" max="11" width="6.4609375" style="182" bestFit="1" customWidth="1"/>
    <col min="12" max="12" width="6.07421875" style="183" customWidth="1"/>
    <col min="13" max="13" width="9.07421875" style="139"/>
    <col min="14" max="14" width="12" style="139" bestFit="1" customWidth="1"/>
    <col min="15" max="16384" width="9.07421875" style="139"/>
  </cols>
  <sheetData>
    <row r="1" spans="1:15" ht="20.25" customHeight="1" x14ac:dyDescent="0.3">
      <c r="A1" s="328" t="s">
        <v>106</v>
      </c>
      <c r="B1" s="329"/>
      <c r="C1" s="329"/>
      <c r="D1" s="329"/>
      <c r="E1" s="329"/>
      <c r="F1" s="329"/>
      <c r="G1" s="329"/>
      <c r="H1" s="329"/>
      <c r="I1" s="329"/>
      <c r="J1" s="329"/>
      <c r="K1" s="152"/>
      <c r="L1" s="152"/>
    </row>
    <row r="2" spans="1:15" s="123" customFormat="1" ht="6.75" customHeight="1" x14ac:dyDescent="0.3">
      <c r="A2" s="447" t="s">
        <v>36</v>
      </c>
      <c r="B2" s="448"/>
      <c r="C2" s="448"/>
      <c r="D2" s="449" t="str">
        <f>'1-Krycí list'!E4</f>
        <v>Měšťanský dům č.p. 274, rejst. č. ÚSKP ČR 35632/6-3949</v>
      </c>
      <c r="E2" s="451" t="s">
        <v>37</v>
      </c>
      <c r="F2" s="451"/>
      <c r="G2" s="451"/>
      <c r="H2" s="330"/>
      <c r="I2" s="330"/>
      <c r="J2" s="450"/>
      <c r="K2" s="153"/>
      <c r="L2" s="153"/>
    </row>
    <row r="3" spans="1:15" s="123" customFormat="1" ht="6.75" customHeight="1" x14ac:dyDescent="0.3">
      <c r="A3" s="448"/>
      <c r="B3" s="448"/>
      <c r="C3" s="448"/>
      <c r="D3" s="449"/>
      <c r="E3" s="451"/>
      <c r="F3" s="451"/>
      <c r="G3" s="451"/>
      <c r="H3" s="330"/>
      <c r="I3" s="330"/>
      <c r="J3" s="450"/>
      <c r="K3" s="153"/>
      <c r="L3" s="153"/>
    </row>
    <row r="4" spans="1:15" s="123" customFormat="1" ht="6.75" customHeight="1" x14ac:dyDescent="0.3">
      <c r="A4" s="447" t="s">
        <v>38</v>
      </c>
      <c r="B4" s="448"/>
      <c r="C4" s="448"/>
      <c r="D4" s="449" t="str">
        <f>'1-Krycí list'!E5</f>
        <v>Stavební část</v>
      </c>
      <c r="E4" s="451" t="s">
        <v>39</v>
      </c>
      <c r="F4" s="451"/>
      <c r="G4" s="451"/>
      <c r="H4" s="330"/>
      <c r="I4" s="330"/>
      <c r="J4" s="450"/>
      <c r="K4" s="153"/>
      <c r="L4" s="153"/>
    </row>
    <row r="5" spans="1:15" s="123" customFormat="1" ht="6.75" customHeight="1" x14ac:dyDescent="0.3">
      <c r="A5" s="448"/>
      <c r="B5" s="448"/>
      <c r="C5" s="448"/>
      <c r="D5" s="449"/>
      <c r="E5" s="451"/>
      <c r="F5" s="451"/>
      <c r="G5" s="451"/>
      <c r="H5" s="330"/>
      <c r="I5" s="330"/>
      <c r="J5" s="450"/>
      <c r="K5" s="445" t="s">
        <v>41</v>
      </c>
      <c r="L5" s="446"/>
    </row>
    <row r="6" spans="1:15" s="129" customFormat="1" ht="10.3" x14ac:dyDescent="0.3">
      <c r="A6" s="243" t="s">
        <v>113</v>
      </c>
      <c r="B6" s="244" t="s">
        <v>42</v>
      </c>
      <c r="C6" s="244" t="s">
        <v>43</v>
      </c>
      <c r="D6" s="245" t="s">
        <v>44</v>
      </c>
      <c r="E6" s="246" t="s">
        <v>45</v>
      </c>
      <c r="F6" s="246" t="s">
        <v>46</v>
      </c>
      <c r="G6" s="247" t="s">
        <v>112</v>
      </c>
      <c r="H6" s="247"/>
      <c r="I6" s="247"/>
      <c r="J6" s="248" t="s">
        <v>47</v>
      </c>
      <c r="K6" s="154" t="s">
        <v>40</v>
      </c>
      <c r="L6" s="155" t="s">
        <v>47</v>
      </c>
    </row>
    <row r="7" spans="1:15" s="220" customFormat="1" x14ac:dyDescent="0.3">
      <c r="A7" s="263"/>
      <c r="B7" s="264"/>
      <c r="C7" s="265"/>
      <c r="D7" s="266" t="str">
        <f>'[3]1-Rekapitulace'!B6</f>
        <v>28 : zpevňování hornin a konstrukcí</v>
      </c>
      <c r="E7" s="267"/>
      <c r="F7" s="268"/>
      <c r="G7" s="269"/>
      <c r="H7" s="269"/>
      <c r="I7" s="269"/>
      <c r="J7" s="254">
        <f>SUM(J8:J15)</f>
        <v>0</v>
      </c>
      <c r="K7" s="255"/>
      <c r="L7" s="256">
        <f>SUM(L8:L15)</f>
        <v>4.7070172000000001</v>
      </c>
    </row>
    <row r="8" spans="1:15" s="220" customFormat="1" x14ac:dyDescent="0.3">
      <c r="A8" s="228">
        <v>1</v>
      </c>
      <c r="B8" s="227"/>
      <c r="C8" s="236" t="s">
        <v>242</v>
      </c>
      <c r="D8" s="279" t="s">
        <v>268</v>
      </c>
      <c r="E8" s="225" t="s">
        <v>77</v>
      </c>
      <c r="F8" s="224">
        <f>SUM(F9:F9)</f>
        <v>58</v>
      </c>
      <c r="G8" s="411"/>
      <c r="H8" s="234"/>
      <c r="I8" s="234"/>
      <c r="J8" s="223">
        <f>ROUND(F8*G8,2)</f>
        <v>0</v>
      </c>
      <c r="K8" s="233">
        <v>3.4139999999999997E-2</v>
      </c>
      <c r="L8" s="222">
        <f>F8*K8</f>
        <v>1.9801199999999999</v>
      </c>
      <c r="M8" s="309"/>
      <c r="N8" s="234"/>
    </row>
    <row r="9" spans="1:15" s="203" customFormat="1" ht="8.25" customHeight="1" x14ac:dyDescent="0.3">
      <c r="A9" s="206"/>
      <c r="B9" s="207"/>
      <c r="C9" s="298"/>
      <c r="D9" s="331" t="s">
        <v>270</v>
      </c>
      <c r="E9" s="238" t="s">
        <v>241</v>
      </c>
      <c r="F9" s="242">
        <f>3*1+5*3+2*4+1*9+5*3+2*4</f>
        <v>58</v>
      </c>
      <c r="G9" s="412"/>
      <c r="H9" s="209"/>
      <c r="I9" s="209"/>
      <c r="J9" s="210"/>
      <c r="K9" s="211"/>
      <c r="L9" s="212"/>
      <c r="N9" s="209"/>
      <c r="O9" s="213"/>
    </row>
    <row r="10" spans="1:15" s="220" customFormat="1" x14ac:dyDescent="0.3">
      <c r="A10" s="228">
        <f>A8+1</f>
        <v>2</v>
      </c>
      <c r="B10" s="227"/>
      <c r="C10" s="236" t="s">
        <v>243</v>
      </c>
      <c r="D10" s="279" t="s">
        <v>269</v>
      </c>
      <c r="E10" s="225" t="s">
        <v>77</v>
      </c>
      <c r="F10" s="224">
        <f>SUM(F11:F11)</f>
        <v>18</v>
      </c>
      <c r="G10" s="411"/>
      <c r="H10" s="234"/>
      <c r="I10" s="234"/>
      <c r="J10" s="223">
        <f>ROUND(F10*G10,2)</f>
        <v>0</v>
      </c>
      <c r="K10" s="233">
        <v>3.4139999999999997E-2</v>
      </c>
      <c r="L10" s="222">
        <f>F10*K10</f>
        <v>0.61451999999999996</v>
      </c>
      <c r="M10" s="309"/>
      <c r="N10" s="234"/>
    </row>
    <row r="11" spans="1:15" s="203" customFormat="1" ht="8.25" customHeight="1" x14ac:dyDescent="0.3">
      <c r="A11" s="206"/>
      <c r="B11" s="207"/>
      <c r="C11" s="298"/>
      <c r="D11" s="331" t="s">
        <v>249</v>
      </c>
      <c r="E11" s="238" t="s">
        <v>241</v>
      </c>
      <c r="F11" s="242">
        <f>3+5+2+1+5+2</f>
        <v>18</v>
      </c>
      <c r="G11" s="412"/>
      <c r="H11" s="209"/>
      <c r="I11" s="209"/>
      <c r="J11" s="210"/>
      <c r="K11" s="211"/>
      <c r="L11" s="212"/>
      <c r="N11" s="209"/>
      <c r="O11" s="213"/>
    </row>
    <row r="12" spans="1:15" s="220" customFormat="1" x14ac:dyDescent="0.3">
      <c r="A12" s="228">
        <f>A10+1</f>
        <v>3</v>
      </c>
      <c r="B12" s="227"/>
      <c r="C12" s="236" t="s">
        <v>244</v>
      </c>
      <c r="D12" s="235" t="s">
        <v>245</v>
      </c>
      <c r="E12" s="225" t="s">
        <v>77</v>
      </c>
      <c r="F12" s="224">
        <f>SUM(F13:F13)</f>
        <v>58</v>
      </c>
      <c r="G12" s="411"/>
      <c r="H12" s="234"/>
      <c r="I12" s="234"/>
      <c r="J12" s="223">
        <f>ROUND(F12*G12,2)</f>
        <v>0</v>
      </c>
      <c r="K12" s="233">
        <v>3.2314000000000002E-2</v>
      </c>
      <c r="L12" s="222">
        <f>F12*K12</f>
        <v>1.8742120000000002</v>
      </c>
      <c r="M12" s="309"/>
      <c r="N12" s="234"/>
    </row>
    <row r="13" spans="1:15" s="203" customFormat="1" ht="8.25" customHeight="1" x14ac:dyDescent="0.3">
      <c r="A13" s="206"/>
      <c r="B13" s="207"/>
      <c r="C13" s="298" t="s">
        <v>102</v>
      </c>
      <c r="D13" s="242" t="str">
        <f>D8</f>
        <v>Oprava trhlin helikální nerezovou výztuží HB 8mm do drážek 10/45mm</v>
      </c>
      <c r="E13" s="238" t="s">
        <v>241</v>
      </c>
      <c r="F13" s="242">
        <f>F8</f>
        <v>58</v>
      </c>
      <c r="G13" s="412"/>
      <c r="H13" s="209"/>
      <c r="I13" s="209"/>
      <c r="J13" s="210"/>
      <c r="K13" s="211"/>
      <c r="L13" s="212"/>
      <c r="N13" s="209"/>
      <c r="O13" s="213"/>
    </row>
    <row r="14" spans="1:15" s="221" customFormat="1" x14ac:dyDescent="0.3">
      <c r="A14" s="228">
        <f>A12+1</f>
        <v>4</v>
      </c>
      <c r="B14" s="227"/>
      <c r="C14" s="236" t="s">
        <v>246</v>
      </c>
      <c r="D14" s="235" t="s">
        <v>248</v>
      </c>
      <c r="E14" s="225" t="s">
        <v>77</v>
      </c>
      <c r="F14" s="224">
        <f>SUM(F15:F15)</f>
        <v>18</v>
      </c>
      <c r="G14" s="411"/>
      <c r="H14" s="234"/>
      <c r="I14" s="234"/>
      <c r="J14" s="223">
        <f>ROUND(F14*G14,2)</f>
        <v>0</v>
      </c>
      <c r="K14" s="233">
        <v>1.3231400000000001E-2</v>
      </c>
      <c r="L14" s="222">
        <f>F14*K14</f>
        <v>0.23816520000000002</v>
      </c>
      <c r="N14" s="234"/>
    </row>
    <row r="15" spans="1:15" s="203" customFormat="1" ht="8.25" customHeight="1" x14ac:dyDescent="0.3">
      <c r="A15" s="206"/>
      <c r="B15" s="207"/>
      <c r="C15" s="298" t="s">
        <v>102</v>
      </c>
      <c r="D15" s="242" t="str">
        <f>D10</f>
        <v>Oprava trhlin vkládanou helikální výztuží HB 8mm do vrtů, vč.vyvrtání</v>
      </c>
      <c r="E15" s="238" t="s">
        <v>241</v>
      </c>
      <c r="F15" s="242">
        <f>F10</f>
        <v>18</v>
      </c>
      <c r="G15" s="412"/>
      <c r="H15" s="209"/>
      <c r="I15" s="209"/>
      <c r="J15" s="210"/>
      <c r="K15" s="211"/>
      <c r="L15" s="212"/>
      <c r="O15" s="213"/>
    </row>
    <row r="16" spans="1:15" x14ac:dyDescent="0.3">
      <c r="A16" s="156"/>
      <c r="B16" s="132"/>
      <c r="C16" s="133"/>
      <c r="D16" s="134" t="str">
        <f>'1-Rekapitulace'!B7</f>
        <v>31 : zdi podpěrné a volné</v>
      </c>
      <c r="E16" s="135"/>
      <c r="F16" s="136"/>
      <c r="G16" s="413"/>
      <c r="H16" s="157"/>
      <c r="I16" s="157"/>
      <c r="J16" s="137">
        <f>SUM(J17:J38)</f>
        <v>0</v>
      </c>
      <c r="K16" s="158"/>
      <c r="L16" s="130">
        <f>SUM(L17:L38)</f>
        <v>3.52180958215</v>
      </c>
    </row>
    <row r="17" spans="1:15" s="221" customFormat="1" x14ac:dyDescent="0.3">
      <c r="A17" s="228">
        <f>A14+1</f>
        <v>5</v>
      </c>
      <c r="B17" s="227"/>
      <c r="C17" s="236" t="s">
        <v>147</v>
      </c>
      <c r="D17" s="235" t="s">
        <v>150</v>
      </c>
      <c r="E17" s="225" t="s">
        <v>75</v>
      </c>
      <c r="F17" s="224">
        <f>ROUND(SUM(F18:F19),2)</f>
        <v>1</v>
      </c>
      <c r="G17" s="411"/>
      <c r="H17" s="234">
        <f t="shared" ref="H17" si="0">ROUND(F17*AE17,2)</f>
        <v>0</v>
      </c>
      <c r="I17" s="234">
        <f t="shared" ref="I17" si="1">J17-H17</f>
        <v>0</v>
      </c>
      <c r="J17" s="223">
        <f>ROUND(F17*G17,2)</f>
        <v>0</v>
      </c>
      <c r="K17" s="233">
        <v>1.8438399999999999</v>
      </c>
      <c r="L17" s="222">
        <f>F17*K17</f>
        <v>1.8438399999999999</v>
      </c>
    </row>
    <row r="18" spans="1:15" s="203" customFormat="1" ht="8.25" customHeight="1" x14ac:dyDescent="0.3">
      <c r="A18" s="206"/>
      <c r="B18" s="207"/>
      <c r="C18" s="298" t="s">
        <v>102</v>
      </c>
      <c r="D18" s="242" t="str">
        <f>D21</f>
        <v>korunní římsa fasády Měšťanský dům č.p. 274 směrem do náměstí</v>
      </c>
      <c r="E18" s="238" t="s">
        <v>75</v>
      </c>
      <c r="F18" s="242">
        <f>F21*0.065</f>
        <v>0.62963550000000001</v>
      </c>
      <c r="G18" s="412"/>
      <c r="H18" s="209"/>
      <c r="I18" s="209"/>
      <c r="J18" s="210"/>
      <c r="K18" s="211"/>
      <c r="L18" s="212"/>
      <c r="O18" s="213"/>
    </row>
    <row r="19" spans="1:15" s="203" customFormat="1" ht="8.25" customHeight="1" x14ac:dyDescent="0.3">
      <c r="A19" s="206"/>
      <c r="B19" s="207"/>
      <c r="C19" s="298" t="s">
        <v>102</v>
      </c>
      <c r="D19" s="242" t="str">
        <f>D22</f>
        <v>kordonová římsa fasády Měšťanský dům č.p. 274 směrem do náměstí</v>
      </c>
      <c r="E19" s="238" t="s">
        <v>75</v>
      </c>
      <c r="F19" s="242">
        <f>F22*0.065</f>
        <v>0.36599062500000001</v>
      </c>
      <c r="G19" s="412"/>
      <c r="H19" s="209"/>
      <c r="I19" s="209"/>
      <c r="J19" s="210"/>
      <c r="K19" s="211"/>
      <c r="L19" s="212"/>
      <c r="O19" s="213"/>
    </row>
    <row r="20" spans="1:15" s="221" customFormat="1" x14ac:dyDescent="0.3">
      <c r="A20" s="228">
        <f>A17+1</f>
        <v>6</v>
      </c>
      <c r="B20" s="227"/>
      <c r="C20" s="236" t="s">
        <v>151</v>
      </c>
      <c r="D20" s="235" t="s">
        <v>189</v>
      </c>
      <c r="E20" s="225" t="s">
        <v>76</v>
      </c>
      <c r="F20" s="224">
        <f>SUM(F21:F26)</f>
        <v>36.974564999999998</v>
      </c>
      <c r="G20" s="411"/>
      <c r="H20" s="234">
        <f t="shared" ref="H20" si="2">ROUND(F20*AE20,2)</f>
        <v>0</v>
      </c>
      <c r="I20" s="234">
        <f t="shared" ref="I20" si="3">J20-H20</f>
        <v>0</v>
      </c>
      <c r="J20" s="223">
        <f t="shared" ref="J20" si="4">ROUND(F20*G20,2)</f>
        <v>0</v>
      </c>
      <c r="K20" s="233">
        <v>1.2109999999999999E-2</v>
      </c>
      <c r="L20" s="222">
        <f t="shared" ref="L20" si="5">F20*K20</f>
        <v>0.44776198214999996</v>
      </c>
    </row>
    <row r="21" spans="1:15" s="203" customFormat="1" ht="8.25" customHeight="1" x14ac:dyDescent="0.3">
      <c r="A21" s="206"/>
      <c r="B21" s="207"/>
      <c r="C21" s="297">
        <v>0.68700000000000006</v>
      </c>
      <c r="D21" s="242" t="str">
        <f t="shared" ref="D21:D26" si="6">D33</f>
        <v>korunní římsa fasády Měšťanský dům č.p. 274 směrem do náměstí</v>
      </c>
      <c r="E21" s="238" t="s">
        <v>76</v>
      </c>
      <c r="F21" s="242">
        <f t="shared" ref="F21:F26" si="7">F33*C21</f>
        <v>9.6867000000000001</v>
      </c>
      <c r="G21" s="412"/>
      <c r="H21" s="209"/>
      <c r="I21" s="209"/>
      <c r="J21" s="210"/>
      <c r="K21" s="211"/>
      <c r="L21" s="212"/>
      <c r="O21" s="213"/>
    </row>
    <row r="22" spans="1:15" s="203" customFormat="1" ht="8.25" customHeight="1" x14ac:dyDescent="0.3">
      <c r="A22" s="206"/>
      <c r="B22" s="207"/>
      <c r="C22" s="297">
        <f>(0.17+0.07+0.135)*1.1</f>
        <v>0.41250000000000003</v>
      </c>
      <c r="D22" s="242" t="str">
        <f t="shared" si="6"/>
        <v>kordonová římsa fasády Měšťanský dům č.p. 274 směrem do náměstí</v>
      </c>
      <c r="E22" s="238" t="s">
        <v>76</v>
      </c>
      <c r="F22" s="242">
        <f t="shared" si="7"/>
        <v>5.6306250000000002</v>
      </c>
      <c r="G22" s="412"/>
      <c r="H22" s="209"/>
      <c r="I22" s="209"/>
      <c r="J22" s="210"/>
      <c r="K22" s="211"/>
      <c r="L22" s="212"/>
      <c r="O22" s="213"/>
    </row>
    <row r="23" spans="1:15" s="203" customFormat="1" ht="8.25" customHeight="1" x14ac:dyDescent="0.3">
      <c r="A23" s="206"/>
      <c r="B23" s="207"/>
      <c r="C23" s="297">
        <v>0.28499999999999998</v>
      </c>
      <c r="D23" s="242" t="str">
        <f t="shared" si="6"/>
        <v>nadokenní římsa horních oken fasády Měšťanský dům č.p. 274 směrem do náměstí</v>
      </c>
      <c r="E23" s="238" t="s">
        <v>76</v>
      </c>
      <c r="F23" s="242">
        <f t="shared" si="7"/>
        <v>4.0184999999999995</v>
      </c>
      <c r="G23" s="412"/>
      <c r="H23" s="209"/>
      <c r="I23" s="209"/>
      <c r="J23" s="210"/>
      <c r="K23" s="211"/>
      <c r="L23" s="212"/>
      <c r="O23" s="213"/>
    </row>
    <row r="24" spans="1:15" s="203" customFormat="1" ht="8.25" customHeight="1" x14ac:dyDescent="0.3">
      <c r="A24" s="206"/>
      <c r="B24" s="207"/>
      <c r="C24" s="297">
        <f>(0.12+0.33)*1.1</f>
        <v>0.49500000000000005</v>
      </c>
      <c r="D24" s="242" t="str">
        <f t="shared" si="6"/>
        <v>nadokenní římsa spodních oken fasády Měšťanský dům č.p. 274 směrem do náměstí</v>
      </c>
      <c r="E24" s="238" t="s">
        <v>76</v>
      </c>
      <c r="F24" s="242">
        <f t="shared" si="7"/>
        <v>6.9795000000000007</v>
      </c>
      <c r="G24" s="412"/>
      <c r="H24" s="209"/>
      <c r="I24" s="209"/>
      <c r="J24" s="210"/>
      <c r="K24" s="211"/>
      <c r="L24" s="212"/>
      <c r="O24" s="213"/>
    </row>
    <row r="25" spans="1:15" s="203" customFormat="1" ht="8.25" customHeight="1" x14ac:dyDescent="0.3">
      <c r="A25" s="206"/>
      <c r="B25" s="207"/>
      <c r="C25" s="297">
        <v>0.21</v>
      </c>
      <c r="D25" s="242" t="str">
        <f t="shared" si="6"/>
        <v>šambrána horních oken fasády Měšťanský dům č.p. 274 směrem do náměstí</v>
      </c>
      <c r="E25" s="238" t="s">
        <v>76</v>
      </c>
      <c r="F25" s="242">
        <f t="shared" si="7"/>
        <v>3.6539999999999995</v>
      </c>
      <c r="G25" s="412"/>
      <c r="H25" s="209"/>
      <c r="I25" s="209"/>
      <c r="J25" s="210"/>
      <c r="K25" s="211"/>
      <c r="L25" s="212"/>
      <c r="O25" s="213"/>
    </row>
    <row r="26" spans="1:15" s="203" customFormat="1" ht="8.25" customHeight="1" x14ac:dyDescent="0.3">
      <c r="A26" s="206"/>
      <c r="B26" s="207"/>
      <c r="C26" s="297">
        <v>0.28999999999999998</v>
      </c>
      <c r="D26" s="242" t="str">
        <f t="shared" si="6"/>
        <v>šambrána spodních oken fasády Měšťanský dům č.p. 274 směrem do náměstí</v>
      </c>
      <c r="E26" s="238" t="s">
        <v>76</v>
      </c>
      <c r="F26" s="242">
        <f t="shared" si="7"/>
        <v>7.0052400000000006</v>
      </c>
      <c r="G26" s="412"/>
      <c r="H26" s="209"/>
      <c r="I26" s="209"/>
      <c r="J26" s="210"/>
      <c r="K26" s="211"/>
      <c r="L26" s="212"/>
      <c r="O26" s="213"/>
    </row>
    <row r="27" spans="1:15" s="221" customFormat="1" x14ac:dyDescent="0.3">
      <c r="A27" s="228">
        <f>A20+1</f>
        <v>7</v>
      </c>
      <c r="B27" s="227"/>
      <c r="C27" s="236" t="s">
        <v>148</v>
      </c>
      <c r="D27" s="279" t="s">
        <v>152</v>
      </c>
      <c r="E27" s="225" t="s">
        <v>75</v>
      </c>
      <c r="F27" s="224">
        <f>F28</f>
        <v>1</v>
      </c>
      <c r="G27" s="411"/>
      <c r="H27" s="234"/>
      <c r="I27" s="234"/>
      <c r="J27" s="223">
        <f t="shared" ref="J27" si="8">ROUND(F27*G27,2)</f>
        <v>0</v>
      </c>
      <c r="K27" s="233">
        <v>0</v>
      </c>
      <c r="L27" s="222">
        <f t="shared" ref="L27" si="9">F27*K27</f>
        <v>0</v>
      </c>
    </row>
    <row r="28" spans="1:15" s="203" customFormat="1" ht="8.25" customHeight="1" x14ac:dyDescent="0.3">
      <c r="A28" s="206"/>
      <c r="B28" s="207"/>
      <c r="C28" s="202"/>
      <c r="D28" s="242" t="s">
        <v>191</v>
      </c>
      <c r="E28" s="238" t="s">
        <v>75</v>
      </c>
      <c r="F28" s="242">
        <f>F17</f>
        <v>1</v>
      </c>
      <c r="G28" s="412"/>
      <c r="H28" s="209"/>
      <c r="I28" s="209"/>
      <c r="J28" s="210"/>
      <c r="K28" s="211"/>
      <c r="L28" s="212"/>
      <c r="O28" s="213"/>
    </row>
    <row r="29" spans="1:15" s="221" customFormat="1" x14ac:dyDescent="0.3">
      <c r="A29" s="228">
        <f>A27+1</f>
        <v>8</v>
      </c>
      <c r="B29" s="227"/>
      <c r="C29" s="236" t="s">
        <v>153</v>
      </c>
      <c r="D29" s="279" t="s">
        <v>190</v>
      </c>
      <c r="E29" s="225" t="s">
        <v>77</v>
      </c>
      <c r="F29" s="224">
        <f>SUM(F30:F31)</f>
        <v>27.75</v>
      </c>
      <c r="G29" s="411"/>
      <c r="H29" s="234"/>
      <c r="I29" s="234"/>
      <c r="J29" s="223">
        <f>ROUND(F29*G29,2)</f>
        <v>0</v>
      </c>
      <c r="K29" s="233">
        <v>1.06E-2</v>
      </c>
      <c r="L29" s="222">
        <f>F29*K29</f>
        <v>0.29415000000000002</v>
      </c>
    </row>
    <row r="30" spans="1:15" s="203" customFormat="1" ht="8.25" customHeight="1" x14ac:dyDescent="0.3">
      <c r="A30" s="206"/>
      <c r="B30" s="207"/>
      <c r="C30" s="298" t="s">
        <v>102</v>
      </c>
      <c r="D30" s="242" t="s">
        <v>176</v>
      </c>
      <c r="E30" s="238" t="s">
        <v>77</v>
      </c>
      <c r="F30" s="242">
        <f>F33</f>
        <v>14.1</v>
      </c>
      <c r="G30" s="412"/>
      <c r="H30" s="209"/>
      <c r="I30" s="209"/>
      <c r="J30" s="210"/>
      <c r="K30" s="211"/>
      <c r="L30" s="212"/>
      <c r="O30" s="213"/>
    </row>
    <row r="31" spans="1:15" s="203" customFormat="1" ht="8.25" customHeight="1" x14ac:dyDescent="0.3">
      <c r="A31" s="206"/>
      <c r="B31" s="207"/>
      <c r="C31" s="298" t="s">
        <v>102</v>
      </c>
      <c r="D31" s="242" t="s">
        <v>178</v>
      </c>
      <c r="E31" s="238" t="s">
        <v>77</v>
      </c>
      <c r="F31" s="242">
        <f>F34</f>
        <v>13.65</v>
      </c>
      <c r="G31" s="412"/>
      <c r="H31" s="209"/>
      <c r="I31" s="209"/>
      <c r="J31" s="210"/>
      <c r="K31" s="211"/>
      <c r="L31" s="212"/>
      <c r="O31" s="213"/>
    </row>
    <row r="32" spans="1:15" s="221" customFormat="1" x14ac:dyDescent="0.3">
      <c r="A32" s="228">
        <f>A29+1</f>
        <v>9</v>
      </c>
      <c r="B32" s="227"/>
      <c r="C32" s="236" t="s">
        <v>149</v>
      </c>
      <c r="D32" s="279" t="s">
        <v>188</v>
      </c>
      <c r="E32" s="225" t="s">
        <v>77</v>
      </c>
      <c r="F32" s="224">
        <f>SUM(F33:F38)</f>
        <v>97.506</v>
      </c>
      <c r="G32" s="411"/>
      <c r="H32" s="234"/>
      <c r="I32" s="234"/>
      <c r="J32" s="223">
        <f t="shared" ref="J32" si="10">ROUND(F32*G32,2)</f>
        <v>0</v>
      </c>
      <c r="K32" s="233">
        <v>9.5999999999999992E-3</v>
      </c>
      <c r="L32" s="222">
        <f>F32*K32</f>
        <v>0.93605759999999993</v>
      </c>
    </row>
    <row r="33" spans="1:15" s="203" customFormat="1" ht="8.25" customHeight="1" x14ac:dyDescent="0.3">
      <c r="A33" s="206"/>
      <c r="B33" s="207"/>
      <c r="C33" s="298" t="s">
        <v>231</v>
      </c>
      <c r="D33" s="242" t="s">
        <v>176</v>
      </c>
      <c r="E33" s="238" t="s">
        <v>77</v>
      </c>
      <c r="F33" s="242">
        <v>14.1</v>
      </c>
      <c r="G33" s="412"/>
      <c r="H33" s="209"/>
      <c r="I33" s="209"/>
      <c r="J33" s="210"/>
      <c r="K33" s="211"/>
      <c r="L33" s="212"/>
      <c r="O33" s="213"/>
    </row>
    <row r="34" spans="1:15" s="203" customFormat="1" ht="8.25" customHeight="1" x14ac:dyDescent="0.3">
      <c r="A34" s="206"/>
      <c r="B34" s="207"/>
      <c r="C34" s="298" t="s">
        <v>231</v>
      </c>
      <c r="D34" s="242" t="s">
        <v>232</v>
      </c>
      <c r="E34" s="238" t="s">
        <v>77</v>
      </c>
      <c r="F34" s="242">
        <v>13.65</v>
      </c>
      <c r="G34" s="412"/>
      <c r="H34" s="209"/>
      <c r="I34" s="209"/>
      <c r="J34" s="210"/>
      <c r="K34" s="211"/>
      <c r="L34" s="212"/>
      <c r="O34" s="213"/>
    </row>
    <row r="35" spans="1:15" s="203" customFormat="1" ht="8.25" customHeight="1" x14ac:dyDescent="0.3">
      <c r="A35" s="206"/>
      <c r="B35" s="207"/>
      <c r="C35" s="298" t="s">
        <v>231</v>
      </c>
      <c r="D35" s="242" t="s">
        <v>195</v>
      </c>
      <c r="E35" s="238" t="s">
        <v>77</v>
      </c>
      <c r="F35" s="242">
        <f>F33</f>
        <v>14.1</v>
      </c>
      <c r="G35" s="412"/>
      <c r="H35" s="209"/>
      <c r="I35" s="209"/>
      <c r="J35" s="210"/>
      <c r="K35" s="211"/>
      <c r="L35" s="212"/>
      <c r="O35" s="213"/>
    </row>
    <row r="36" spans="1:15" s="203" customFormat="1" ht="8.25" customHeight="1" x14ac:dyDescent="0.3">
      <c r="A36" s="206"/>
      <c r="B36" s="207"/>
      <c r="C36" s="298" t="s">
        <v>231</v>
      </c>
      <c r="D36" s="242" t="s">
        <v>192</v>
      </c>
      <c r="E36" s="238" t="s">
        <v>77</v>
      </c>
      <c r="F36" s="242">
        <f>F33</f>
        <v>14.1</v>
      </c>
      <c r="G36" s="412"/>
      <c r="H36" s="209"/>
      <c r="I36" s="209"/>
      <c r="J36" s="210"/>
      <c r="K36" s="211"/>
      <c r="L36" s="212"/>
      <c r="O36" s="213"/>
    </row>
    <row r="37" spans="1:15" s="203" customFormat="1" ht="8.25" customHeight="1" x14ac:dyDescent="0.3">
      <c r="A37" s="206"/>
      <c r="B37" s="207"/>
      <c r="C37" s="298" t="s">
        <v>231</v>
      </c>
      <c r="D37" s="242" t="s">
        <v>194</v>
      </c>
      <c r="E37" s="238" t="s">
        <v>77</v>
      </c>
      <c r="F37" s="273">
        <f>6*2.9</f>
        <v>17.399999999999999</v>
      </c>
      <c r="G37" s="414"/>
      <c r="H37" s="209"/>
      <c r="I37" s="209"/>
      <c r="J37" s="210"/>
      <c r="K37" s="211"/>
      <c r="L37" s="212"/>
      <c r="O37" s="213"/>
    </row>
    <row r="38" spans="1:15" s="203" customFormat="1" ht="8.25" customHeight="1" x14ac:dyDescent="0.3">
      <c r="A38" s="206"/>
      <c r="B38" s="207"/>
      <c r="C38" s="298" t="s">
        <v>231</v>
      </c>
      <c r="D38" s="242" t="s">
        <v>193</v>
      </c>
      <c r="E38" s="238" t="s">
        <v>77</v>
      </c>
      <c r="F38" s="273">
        <f>6*(2*1.83)*1.1</f>
        <v>24.156000000000002</v>
      </c>
      <c r="G38" s="412"/>
      <c r="H38" s="209"/>
      <c r="I38" s="209"/>
      <c r="J38" s="210"/>
      <c r="K38" s="211"/>
      <c r="L38" s="212"/>
      <c r="O38" s="213"/>
    </row>
    <row r="39" spans="1:15" x14ac:dyDescent="0.3">
      <c r="A39" s="156"/>
      <c r="B39" s="132"/>
      <c r="C39" s="133"/>
      <c r="D39" s="134" t="str">
        <f>'1-Rekapitulace'!B9</f>
        <v>62 : úprava povrchů vnější</v>
      </c>
      <c r="E39" s="135"/>
      <c r="F39" s="136"/>
      <c r="G39" s="413"/>
      <c r="H39" s="157"/>
      <c r="I39" s="157"/>
      <c r="J39" s="137">
        <f>SUM(J40:J128)</f>
        <v>0</v>
      </c>
      <c r="K39" s="158"/>
      <c r="L39" s="130">
        <f>SUM(L40:L128)</f>
        <v>11.2694808024685</v>
      </c>
    </row>
    <row r="40" spans="1:15" s="221" customFormat="1" x14ac:dyDescent="0.3">
      <c r="A40" s="228">
        <f>A32+1</f>
        <v>10</v>
      </c>
      <c r="B40" s="227"/>
      <c r="C40" s="236" t="s">
        <v>282</v>
      </c>
      <c r="D40" s="279" t="s">
        <v>199</v>
      </c>
      <c r="E40" s="225" t="s">
        <v>76</v>
      </c>
      <c r="F40" s="224">
        <f>SUM(F41:F41)</f>
        <v>112.964365</v>
      </c>
      <c r="G40" s="411"/>
      <c r="H40" s="234"/>
      <c r="I40" s="234"/>
      <c r="J40" s="223">
        <f>ROUND(F40*G40,2)</f>
        <v>0</v>
      </c>
      <c r="K40" s="233">
        <v>1E-3</v>
      </c>
      <c r="L40" s="222">
        <f>F40*K40</f>
        <v>0.112964365</v>
      </c>
    </row>
    <row r="41" spans="1:15" s="203" customFormat="1" ht="8.25" customHeight="1" x14ac:dyDescent="0.3">
      <c r="A41" s="206"/>
      <c r="B41" s="207"/>
      <c r="C41" s="298" t="s">
        <v>102</v>
      </c>
      <c r="D41" s="296" t="str">
        <f>D112</f>
        <v>Nátěr stěn vnějších, s max. podílem disperze  do  3%</v>
      </c>
      <c r="E41" s="238" t="s">
        <v>76</v>
      </c>
      <c r="F41" s="289">
        <f>F112</f>
        <v>112.964365</v>
      </c>
      <c r="G41" s="412"/>
      <c r="H41" s="209"/>
      <c r="I41" s="209"/>
      <c r="J41" s="210"/>
      <c r="K41" s="211"/>
      <c r="L41" s="212"/>
      <c r="O41" s="213"/>
    </row>
    <row r="42" spans="1:15" s="237" customFormat="1" x14ac:dyDescent="0.3">
      <c r="A42" s="228">
        <f>A40+1</f>
        <v>11</v>
      </c>
      <c r="B42" s="227"/>
      <c r="C42" s="236" t="s">
        <v>283</v>
      </c>
      <c r="D42" s="235" t="s">
        <v>144</v>
      </c>
      <c r="E42" s="225" t="s">
        <v>76</v>
      </c>
      <c r="F42" s="224">
        <f>SUM(F43:F43)</f>
        <v>112.964365</v>
      </c>
      <c r="G42" s="411"/>
      <c r="H42" s="234"/>
      <c r="I42" s="234"/>
      <c r="J42" s="223">
        <f t="shared" ref="J42" si="11">ROUND(F42*G42,2)</f>
        <v>0</v>
      </c>
      <c r="K42" s="233">
        <v>1E-3</v>
      </c>
      <c r="L42" s="222">
        <f>F42*K42</f>
        <v>0.112964365</v>
      </c>
    </row>
    <row r="43" spans="1:15" s="237" customFormat="1" ht="9" customHeight="1" x14ac:dyDescent="0.3">
      <c r="A43" s="277"/>
      <c r="B43" s="277"/>
      <c r="C43" s="298" t="s">
        <v>102</v>
      </c>
      <c r="D43" s="296" t="str">
        <f>D40</f>
        <v>Očištění nízkotlakovou vodou stěn zdiva a rubu kleneb,říms,šambrán</v>
      </c>
      <c r="E43" s="238" t="s">
        <v>76</v>
      </c>
      <c r="F43" s="273">
        <f>F40</f>
        <v>112.964365</v>
      </c>
      <c r="G43" s="415"/>
      <c r="H43" s="251"/>
      <c r="I43" s="251"/>
      <c r="J43" s="250"/>
      <c r="K43" s="295"/>
      <c r="L43" s="229"/>
    </row>
    <row r="44" spans="1:15" s="237" customFormat="1" x14ac:dyDescent="0.3">
      <c r="A44" s="228">
        <f>A40+1</f>
        <v>11</v>
      </c>
      <c r="B44" s="227"/>
      <c r="C44" s="236" t="s">
        <v>288</v>
      </c>
      <c r="D44" s="235" t="s">
        <v>145</v>
      </c>
      <c r="E44" s="225" t="s">
        <v>76</v>
      </c>
      <c r="F44" s="224">
        <f>SUM(F45:F45)</f>
        <v>112.964365</v>
      </c>
      <c r="G44" s="411"/>
      <c r="H44" s="234"/>
      <c r="I44" s="234"/>
      <c r="J44" s="223">
        <f t="shared" ref="J44" si="12">ROUND(F44*G44,2)</f>
        <v>0</v>
      </c>
      <c r="K44" s="233">
        <v>0</v>
      </c>
      <c r="L44" s="222">
        <f>F44*K44</f>
        <v>0</v>
      </c>
    </row>
    <row r="45" spans="1:15" s="237" customFormat="1" ht="9" customHeight="1" x14ac:dyDescent="0.3">
      <c r="A45" s="277"/>
      <c r="B45" s="277"/>
      <c r="C45" s="298" t="s">
        <v>102</v>
      </c>
      <c r="D45" s="296" t="str">
        <f>D42</f>
        <v>Očištění stlačeným vzduchem zdiva a rubu kleneb</v>
      </c>
      <c r="E45" s="238" t="s">
        <v>76</v>
      </c>
      <c r="F45" s="273">
        <f>F42</f>
        <v>112.964365</v>
      </c>
      <c r="G45" s="415"/>
      <c r="H45" s="251"/>
      <c r="I45" s="251"/>
      <c r="J45" s="250"/>
      <c r="K45" s="295"/>
      <c r="L45" s="229"/>
    </row>
    <row r="46" spans="1:15" s="237" customFormat="1" x14ac:dyDescent="0.3">
      <c r="A46" s="228">
        <f>A42+1</f>
        <v>12</v>
      </c>
      <c r="B46" s="227"/>
      <c r="C46" s="236" t="s">
        <v>284</v>
      </c>
      <c r="D46" s="235" t="s">
        <v>286</v>
      </c>
      <c r="E46" s="225" t="s">
        <v>76</v>
      </c>
      <c r="F46" s="224">
        <f>SUM(F47:F47)</f>
        <v>56.4821825</v>
      </c>
      <c r="G46" s="411"/>
      <c r="H46" s="234"/>
      <c r="I46" s="234"/>
      <c r="J46" s="223">
        <f t="shared" ref="J46" si="13">ROUND(F46*G46,2)</f>
        <v>0</v>
      </c>
      <c r="K46" s="233">
        <v>1E-3</v>
      </c>
      <c r="L46" s="222">
        <f>F46*K46</f>
        <v>5.6482182499999999E-2</v>
      </c>
    </row>
    <row r="47" spans="1:15" s="237" customFormat="1" ht="9" customHeight="1" x14ac:dyDescent="0.3">
      <c r="A47" s="349">
        <v>0.5</v>
      </c>
      <c r="B47" s="277"/>
      <c r="C47" s="298" t="s">
        <v>102</v>
      </c>
      <c r="D47" s="296" t="str">
        <f>D40</f>
        <v>Očištění nízkotlakovou vodou stěn zdiva a rubu kleneb,říms,šambrán</v>
      </c>
      <c r="E47" s="238" t="s">
        <v>76</v>
      </c>
      <c r="F47" s="273">
        <f>F41*A47</f>
        <v>56.4821825</v>
      </c>
      <c r="G47" s="415"/>
      <c r="H47" s="251"/>
      <c r="I47" s="251"/>
      <c r="J47" s="250"/>
      <c r="K47" s="295"/>
      <c r="L47" s="229"/>
    </row>
    <row r="48" spans="1:15" s="237" customFormat="1" x14ac:dyDescent="0.3">
      <c r="A48" s="228">
        <f>A46+1</f>
        <v>13</v>
      </c>
      <c r="B48" s="227"/>
      <c r="C48" s="236" t="s">
        <v>285</v>
      </c>
      <c r="D48" s="235" t="s">
        <v>287</v>
      </c>
      <c r="E48" s="225" t="s">
        <v>76</v>
      </c>
      <c r="F48" s="224">
        <f>SUM(F49:F49)</f>
        <v>33.889309499999996</v>
      </c>
      <c r="G48" s="411"/>
      <c r="H48" s="234"/>
      <c r="I48" s="234"/>
      <c r="J48" s="223">
        <f t="shared" ref="J48" si="14">ROUND(F48*G48,2)</f>
        <v>0</v>
      </c>
      <c r="K48" s="233">
        <v>1E-3</v>
      </c>
      <c r="L48" s="222">
        <f>F48*K48</f>
        <v>3.3889309499999999E-2</v>
      </c>
    </row>
    <row r="49" spans="1:15" s="237" customFormat="1" ht="9" customHeight="1" x14ac:dyDescent="0.3">
      <c r="A49" s="349">
        <v>0.3</v>
      </c>
      <c r="B49" s="277"/>
      <c r="C49" s="298" t="s">
        <v>102</v>
      </c>
      <c r="D49" s="307" t="str">
        <f>D40</f>
        <v>Očištění nízkotlakovou vodou stěn zdiva a rubu kleneb,říms,šambrán</v>
      </c>
      <c r="E49" s="238" t="s">
        <v>76</v>
      </c>
      <c r="F49" s="273">
        <f>F41*A49</f>
        <v>33.889309499999996</v>
      </c>
      <c r="G49" s="415"/>
      <c r="H49" s="251"/>
      <c r="I49" s="251"/>
      <c r="J49" s="250"/>
      <c r="K49" s="295"/>
      <c r="L49" s="229"/>
    </row>
    <row r="50" spans="1:15" s="237" customFormat="1" x14ac:dyDescent="0.3">
      <c r="A50" s="228">
        <f>A48+1</f>
        <v>14</v>
      </c>
      <c r="B50" s="227"/>
      <c r="C50" s="236" t="s">
        <v>289</v>
      </c>
      <c r="D50" s="235" t="s">
        <v>290</v>
      </c>
      <c r="E50" s="225" t="s">
        <v>76</v>
      </c>
      <c r="F50" s="224">
        <f>SUM(F51:F51)</f>
        <v>56.4821825</v>
      </c>
      <c r="G50" s="411"/>
      <c r="H50" s="234"/>
      <c r="I50" s="234"/>
      <c r="J50" s="223">
        <f t="shared" ref="J50" si="15">ROUND(F50*G50,2)</f>
        <v>0</v>
      </c>
      <c r="K50" s="233">
        <v>0</v>
      </c>
      <c r="L50" s="222">
        <f>F50*K50</f>
        <v>0</v>
      </c>
    </row>
    <row r="51" spans="1:15" s="277" customFormat="1" ht="8.25" customHeight="1" x14ac:dyDescent="0.3">
      <c r="A51" s="270"/>
      <c r="B51" s="271"/>
      <c r="C51" s="298" t="s">
        <v>102</v>
      </c>
      <c r="D51" s="296" t="str">
        <f>D46</f>
        <v>Očištění vnějších ploch čističi na bázi tenzidů (50% plochy)</v>
      </c>
      <c r="E51" s="238" t="s">
        <v>76</v>
      </c>
      <c r="F51" s="273">
        <f>F46</f>
        <v>56.4821825</v>
      </c>
      <c r="G51" s="414"/>
      <c r="H51" s="274"/>
      <c r="I51" s="274"/>
      <c r="J51" s="290"/>
      <c r="K51" s="275"/>
      <c r="L51" s="276"/>
    </row>
    <row r="52" spans="1:15" s="221" customFormat="1" x14ac:dyDescent="0.3">
      <c r="A52" s="228">
        <f>A50+1</f>
        <v>15</v>
      </c>
      <c r="B52" s="227"/>
      <c r="C52" s="236" t="s">
        <v>165</v>
      </c>
      <c r="D52" s="235" t="s">
        <v>166</v>
      </c>
      <c r="E52" s="225" t="s">
        <v>76</v>
      </c>
      <c r="F52" s="224">
        <f>SUM(F53:F54)</f>
        <v>77.130300000000005</v>
      </c>
      <c r="G52" s="411"/>
      <c r="H52" s="234"/>
      <c r="I52" s="234"/>
      <c r="J52" s="223">
        <f>ROUND(F52*G52,2)</f>
        <v>0</v>
      </c>
      <c r="K52" s="233">
        <v>1E-4</v>
      </c>
      <c r="L52" s="222">
        <f>F52*K52</f>
        <v>7.7130300000000009E-3</v>
      </c>
    </row>
    <row r="53" spans="1:15" s="277" customFormat="1" ht="8.25" customHeight="1" x14ac:dyDescent="0.3">
      <c r="A53" s="270"/>
      <c r="B53" s="271"/>
      <c r="C53" s="298"/>
      <c r="D53" s="296" t="s">
        <v>175</v>
      </c>
      <c r="E53" s="238" t="s">
        <v>76</v>
      </c>
      <c r="F53" s="273">
        <f>(3.87+3.615)/2*14.12</f>
        <v>52.844099999999997</v>
      </c>
      <c r="G53" s="414"/>
      <c r="H53" s="274"/>
      <c r="I53" s="274"/>
      <c r="J53" s="290"/>
      <c r="K53" s="275"/>
      <c r="L53" s="276"/>
    </row>
    <row r="54" spans="1:15" s="277" customFormat="1" ht="8.25" customHeight="1" x14ac:dyDescent="0.3">
      <c r="A54" s="270"/>
      <c r="B54" s="271"/>
      <c r="C54" s="298"/>
      <c r="D54" s="242" t="s">
        <v>180</v>
      </c>
      <c r="E54" s="238" t="s">
        <v>76</v>
      </c>
      <c r="F54" s="273">
        <f>6*1.13*1.25+6*1.44*1.83</f>
        <v>24.286200000000001</v>
      </c>
      <c r="G54" s="414"/>
      <c r="H54" s="274"/>
      <c r="I54" s="274"/>
      <c r="J54" s="290"/>
      <c r="K54" s="275"/>
      <c r="L54" s="276"/>
      <c r="O54" s="213"/>
    </row>
    <row r="55" spans="1:15" s="221" customFormat="1" x14ac:dyDescent="0.3">
      <c r="A55" s="228">
        <f>A52+1</f>
        <v>16</v>
      </c>
      <c r="B55" s="227"/>
      <c r="C55" s="236" t="s">
        <v>291</v>
      </c>
      <c r="D55" s="235" t="s">
        <v>292</v>
      </c>
      <c r="E55" s="225" t="s">
        <v>76</v>
      </c>
      <c r="F55" s="224">
        <f>SUM(F56:F56)</f>
        <v>63.412919999999993</v>
      </c>
      <c r="G55" s="411"/>
      <c r="H55" s="234"/>
      <c r="I55" s="234"/>
      <c r="J55" s="223">
        <f>ROUND(F55*G55,2)</f>
        <v>0</v>
      </c>
      <c r="K55" s="233">
        <v>1E-4</v>
      </c>
      <c r="L55" s="222">
        <f>F55*K55</f>
        <v>6.3412919999999992E-3</v>
      </c>
    </row>
    <row r="56" spans="1:15" s="277" customFormat="1" ht="8.25" customHeight="1" x14ac:dyDescent="0.3">
      <c r="A56" s="270"/>
      <c r="B56" s="271"/>
      <c r="C56" s="298"/>
      <c r="D56" s="296" t="s">
        <v>293</v>
      </c>
      <c r="E56" s="238" t="s">
        <v>76</v>
      </c>
      <c r="F56" s="273">
        <f>SUM(F53:F53)*1.2</f>
        <v>63.412919999999993</v>
      </c>
      <c r="G56" s="414"/>
      <c r="H56" s="274"/>
      <c r="I56" s="274"/>
      <c r="J56" s="290"/>
      <c r="K56" s="275"/>
      <c r="L56" s="276"/>
    </row>
    <row r="57" spans="1:15" s="221" customFormat="1" x14ac:dyDescent="0.3">
      <c r="A57" s="228">
        <f>A55+1</f>
        <v>17</v>
      </c>
      <c r="B57" s="227"/>
      <c r="C57" s="236" t="s">
        <v>177</v>
      </c>
      <c r="D57" s="235" t="s">
        <v>179</v>
      </c>
      <c r="E57" s="225" t="s">
        <v>76</v>
      </c>
      <c r="F57" s="224">
        <f>SUM(F58:F59)</f>
        <v>55.573599999999999</v>
      </c>
      <c r="G57" s="411"/>
      <c r="H57" s="251"/>
      <c r="I57" s="251"/>
      <c r="J57" s="223">
        <f>ROUND(F57*G57,2)</f>
        <v>0</v>
      </c>
      <c r="K57" s="233">
        <v>0</v>
      </c>
      <c r="L57" s="222">
        <f>F57*K57</f>
        <v>0</v>
      </c>
      <c r="M57" s="291"/>
    </row>
    <row r="58" spans="1:15" s="277" customFormat="1" ht="8.25" customHeight="1" x14ac:dyDescent="0.3">
      <c r="A58" s="270"/>
      <c r="B58" s="271"/>
      <c r="C58" s="298" t="s">
        <v>102</v>
      </c>
      <c r="D58" s="296" t="str">
        <f>D99</f>
        <v xml:space="preserve">Omítka ostění,nadpraží, štuková, vápenná s vápen.hydraul.pojivem </v>
      </c>
      <c r="E58" s="238" t="s">
        <v>76</v>
      </c>
      <c r="F58" s="273">
        <f>F99</f>
        <v>11.523600000000002</v>
      </c>
      <c r="G58" s="414"/>
      <c r="H58" s="274"/>
      <c r="I58" s="274"/>
      <c r="J58" s="290"/>
      <c r="K58" s="275"/>
      <c r="L58" s="276"/>
      <c r="O58" s="213"/>
    </row>
    <row r="59" spans="1:15" s="277" customFormat="1" ht="8.25" customHeight="1" x14ac:dyDescent="0.3">
      <c r="A59" s="270"/>
      <c r="B59" s="271"/>
      <c r="C59" s="298" t="s">
        <v>102</v>
      </c>
      <c r="D59" s="296" t="str">
        <f>D101</f>
        <v>Omítka stěn,štuková,vápenná s vápen.hydraul.pojivem na pasiv.plochách</v>
      </c>
      <c r="E59" s="238" t="s">
        <v>76</v>
      </c>
      <c r="F59" s="273">
        <f>F101</f>
        <v>44.05</v>
      </c>
      <c r="G59" s="414"/>
      <c r="H59" s="274"/>
      <c r="I59" s="274"/>
      <c r="J59" s="290"/>
      <c r="K59" s="275"/>
      <c r="L59" s="276"/>
      <c r="O59" s="213"/>
    </row>
    <row r="60" spans="1:15" s="221" customFormat="1" x14ac:dyDescent="0.3">
      <c r="A60" s="228">
        <f>A57+1</f>
        <v>18</v>
      </c>
      <c r="B60" s="227"/>
      <c r="C60" s="236" t="s">
        <v>139</v>
      </c>
      <c r="D60" s="235" t="s">
        <v>157</v>
      </c>
      <c r="E60" s="225" t="s">
        <v>76</v>
      </c>
      <c r="F60" s="224">
        <f>F61</f>
        <v>112.964365</v>
      </c>
      <c r="G60" s="411"/>
      <c r="H60" s="251"/>
      <c r="I60" s="251"/>
      <c r="J60" s="223">
        <f>ROUND(F60*G60,2)</f>
        <v>0</v>
      </c>
      <c r="K60" s="233">
        <v>1.8000000000000001E-4</v>
      </c>
      <c r="L60" s="222">
        <f>F60*K60</f>
        <v>2.03335857E-2</v>
      </c>
      <c r="M60" s="291"/>
    </row>
    <row r="61" spans="1:15" s="277" customFormat="1" ht="8.25" customHeight="1" x14ac:dyDescent="0.3">
      <c r="A61" s="270"/>
      <c r="B61" s="271"/>
      <c r="C61" s="298" t="s">
        <v>102</v>
      </c>
      <c r="D61" s="242" t="str">
        <f>D107</f>
        <v>Příplatek k položce za vícebarevný nátěr omítky</v>
      </c>
      <c r="E61" s="238" t="s">
        <v>76</v>
      </c>
      <c r="F61" s="273">
        <f>F107</f>
        <v>112.964365</v>
      </c>
      <c r="G61" s="414"/>
      <c r="H61" s="274"/>
      <c r="I61" s="274"/>
      <c r="J61" s="290"/>
      <c r="K61" s="275"/>
      <c r="L61" s="276"/>
      <c r="O61" s="213"/>
    </row>
    <row r="62" spans="1:15" s="221" customFormat="1" x14ac:dyDescent="0.3">
      <c r="A62" s="228">
        <f>A60+1</f>
        <v>19</v>
      </c>
      <c r="B62" s="227"/>
      <c r="C62" s="236" t="s">
        <v>294</v>
      </c>
      <c r="D62" s="235" t="s">
        <v>295</v>
      </c>
      <c r="E62" s="225" t="s">
        <v>76</v>
      </c>
      <c r="F62" s="224">
        <f>F63</f>
        <v>1.7285400000000002</v>
      </c>
      <c r="G62" s="411"/>
      <c r="H62" s="251"/>
      <c r="I62" s="251"/>
      <c r="J62" s="223">
        <f>ROUND(F62*G62,2)</f>
        <v>0</v>
      </c>
      <c r="K62" s="233">
        <v>1.8000000000000001E-4</v>
      </c>
      <c r="L62" s="222">
        <f>F62*K62</f>
        <v>3.1113720000000003E-4</v>
      </c>
      <c r="M62" s="291"/>
    </row>
    <row r="63" spans="1:15" s="277" customFormat="1" ht="8.25" customHeight="1" x14ac:dyDescent="0.3">
      <c r="A63" s="270"/>
      <c r="B63" s="271"/>
      <c r="C63" s="298"/>
      <c r="D63" s="242" t="s">
        <v>296</v>
      </c>
      <c r="E63" s="238" t="s">
        <v>76</v>
      </c>
      <c r="F63" s="273">
        <f>F99*0.15</f>
        <v>1.7285400000000002</v>
      </c>
      <c r="G63" s="414"/>
      <c r="H63" s="274"/>
      <c r="I63" s="274"/>
      <c r="J63" s="290"/>
      <c r="K63" s="275"/>
      <c r="L63" s="276"/>
      <c r="O63" s="213"/>
    </row>
    <row r="64" spans="1:15" s="221" customFormat="1" x14ac:dyDescent="0.3">
      <c r="A64" s="228">
        <f>A62+1</f>
        <v>20</v>
      </c>
      <c r="B64" s="227"/>
      <c r="C64" s="236" t="s">
        <v>140</v>
      </c>
      <c r="D64" s="279" t="s">
        <v>267</v>
      </c>
      <c r="E64" s="225" t="s">
        <v>77</v>
      </c>
      <c r="F64" s="224">
        <f>SUM(F65:F75)</f>
        <v>157.44599999999997</v>
      </c>
      <c r="G64" s="411"/>
      <c r="H64" s="251"/>
      <c r="I64" s="251"/>
      <c r="J64" s="223">
        <f>ROUND(F64*G64,2)</f>
        <v>0</v>
      </c>
      <c r="K64" s="233">
        <v>1.5980000000000001E-2</v>
      </c>
      <c r="L64" s="222">
        <f>F64*K64</f>
        <v>2.5159870799999995</v>
      </c>
      <c r="M64" s="291"/>
    </row>
    <row r="65" spans="1:15" s="277" customFormat="1" ht="8.25" customHeight="1" x14ac:dyDescent="0.3">
      <c r="A65" s="270"/>
      <c r="B65" s="271"/>
      <c r="C65" s="298" t="s">
        <v>102</v>
      </c>
      <c r="D65" s="242" t="str">
        <f>D33</f>
        <v>korunní římsa fasády Měšťanský dům č.p. 274 směrem do náměstí</v>
      </c>
      <c r="E65" s="238" t="s">
        <v>77</v>
      </c>
      <c r="F65" s="242">
        <f>F33</f>
        <v>14.1</v>
      </c>
      <c r="G65" s="414"/>
      <c r="H65" s="274"/>
      <c r="I65" s="274"/>
      <c r="J65" s="290"/>
      <c r="K65" s="275"/>
      <c r="L65" s="276"/>
      <c r="O65" s="213"/>
    </row>
    <row r="66" spans="1:15" s="277" customFormat="1" ht="8.25" customHeight="1" x14ac:dyDescent="0.3">
      <c r="A66" s="270"/>
      <c r="B66" s="271"/>
      <c r="C66" s="298" t="s">
        <v>102</v>
      </c>
      <c r="D66" s="242" t="str">
        <f>D34</f>
        <v>kordonová římsa fasády Měšťanský dům č.p. 274 směrem do náměstí</v>
      </c>
      <c r="E66" s="238" t="s">
        <v>77</v>
      </c>
      <c r="F66" s="242">
        <f>F34</f>
        <v>13.65</v>
      </c>
      <c r="G66" s="414"/>
      <c r="H66" s="274"/>
      <c r="I66" s="274"/>
      <c r="J66" s="290"/>
      <c r="K66" s="275"/>
      <c r="L66" s="276"/>
      <c r="O66" s="213"/>
    </row>
    <row r="67" spans="1:15" s="277" customFormat="1" ht="8.25" customHeight="1" x14ac:dyDescent="0.3">
      <c r="A67" s="270"/>
      <c r="B67" s="271"/>
      <c r="C67" s="298" t="s">
        <v>102</v>
      </c>
      <c r="D67" s="242" t="str">
        <f t="shared" ref="D67:D70" si="16">D35</f>
        <v>nadokenní římsa horních oken fasády Měšťanský dům č.p. 274 směrem do náměstí</v>
      </c>
      <c r="E67" s="238" t="s">
        <v>77</v>
      </c>
      <c r="F67" s="242">
        <f t="shared" ref="F67:F70" si="17">F35</f>
        <v>14.1</v>
      </c>
      <c r="G67" s="414"/>
      <c r="H67" s="274"/>
      <c r="I67" s="274"/>
      <c r="J67" s="290"/>
      <c r="K67" s="275"/>
      <c r="L67" s="276"/>
      <c r="O67" s="213"/>
    </row>
    <row r="68" spans="1:15" s="277" customFormat="1" ht="8.25" customHeight="1" x14ac:dyDescent="0.3">
      <c r="A68" s="270"/>
      <c r="B68" s="271"/>
      <c r="C68" s="298" t="s">
        <v>102</v>
      </c>
      <c r="D68" s="242" t="str">
        <f t="shared" si="16"/>
        <v>nadokenní římsa spodních oken fasády Měšťanský dům č.p. 274 směrem do náměstí</v>
      </c>
      <c r="E68" s="238" t="s">
        <v>77</v>
      </c>
      <c r="F68" s="242">
        <f t="shared" si="17"/>
        <v>14.1</v>
      </c>
      <c r="G68" s="414"/>
      <c r="H68" s="274"/>
      <c r="I68" s="274"/>
      <c r="J68" s="290"/>
      <c r="K68" s="275"/>
      <c r="L68" s="276"/>
      <c r="O68" s="213"/>
    </row>
    <row r="69" spans="1:15" s="277" customFormat="1" ht="8.25" customHeight="1" x14ac:dyDescent="0.3">
      <c r="A69" s="270"/>
      <c r="B69" s="271"/>
      <c r="C69" s="298" t="s">
        <v>102</v>
      </c>
      <c r="D69" s="242" t="str">
        <f t="shared" si="16"/>
        <v>šambrána horních oken fasády Měšťanský dům č.p. 274 směrem do náměstí</v>
      </c>
      <c r="E69" s="238" t="s">
        <v>77</v>
      </c>
      <c r="F69" s="242">
        <f t="shared" si="17"/>
        <v>17.399999999999999</v>
      </c>
      <c r="G69" s="416"/>
      <c r="H69" s="274"/>
      <c r="I69" s="274"/>
      <c r="J69" s="290"/>
      <c r="K69" s="275"/>
      <c r="L69" s="276"/>
      <c r="O69" s="213"/>
    </row>
    <row r="70" spans="1:15" s="277" customFormat="1" ht="8.25" customHeight="1" x14ac:dyDescent="0.3">
      <c r="A70" s="270"/>
      <c r="B70" s="271"/>
      <c r="C70" s="298" t="s">
        <v>102</v>
      </c>
      <c r="D70" s="242" t="str">
        <f t="shared" si="16"/>
        <v>šambrána spodních oken fasády Měšťanský dům č.p. 274 směrem do náměstí</v>
      </c>
      <c r="E70" s="238" t="s">
        <v>77</v>
      </c>
      <c r="F70" s="242">
        <f t="shared" si="17"/>
        <v>24.156000000000002</v>
      </c>
      <c r="G70" s="414"/>
      <c r="H70" s="274"/>
      <c r="I70" s="274"/>
      <c r="J70" s="290"/>
      <c r="K70" s="275"/>
      <c r="L70" s="276"/>
      <c r="O70" s="213"/>
    </row>
    <row r="71" spans="1:15" s="277" customFormat="1" ht="8.25" customHeight="1" x14ac:dyDescent="0.3">
      <c r="A71" s="270"/>
      <c r="B71" s="271"/>
      <c r="C71" s="298" t="s">
        <v>231</v>
      </c>
      <c r="D71" s="242" t="s">
        <v>234</v>
      </c>
      <c r="E71" s="238" t="s">
        <v>77</v>
      </c>
      <c r="F71" s="242">
        <f>F65</f>
        <v>14.1</v>
      </c>
      <c r="G71" s="414"/>
      <c r="H71" s="274"/>
      <c r="I71" s="274"/>
      <c r="J71" s="290"/>
      <c r="K71" s="275"/>
      <c r="L71" s="276"/>
      <c r="O71" s="213"/>
    </row>
    <row r="72" spans="1:15" s="277" customFormat="1" ht="8.25" customHeight="1" x14ac:dyDescent="0.3">
      <c r="A72" s="270"/>
      <c r="B72" s="271"/>
      <c r="C72" s="298" t="s">
        <v>231</v>
      </c>
      <c r="D72" s="242" t="s">
        <v>235</v>
      </c>
      <c r="E72" s="238" t="s">
        <v>77</v>
      </c>
      <c r="F72" s="242">
        <f>F71</f>
        <v>14.1</v>
      </c>
      <c r="G72" s="414"/>
      <c r="H72" s="274"/>
      <c r="I72" s="274"/>
      <c r="J72" s="290"/>
      <c r="K72" s="275"/>
      <c r="L72" s="276"/>
      <c r="O72" s="213"/>
    </row>
    <row r="73" spans="1:15" s="277" customFormat="1" ht="8.25" customHeight="1" x14ac:dyDescent="0.3">
      <c r="A73" s="270"/>
      <c r="B73" s="271"/>
      <c r="C73" s="298" t="s">
        <v>231</v>
      </c>
      <c r="D73" s="242" t="s">
        <v>236</v>
      </c>
      <c r="E73" s="238" t="s">
        <v>77</v>
      </c>
      <c r="F73" s="242">
        <f>F72</f>
        <v>14.1</v>
      </c>
      <c r="G73" s="414"/>
      <c r="H73" s="274"/>
      <c r="I73" s="274"/>
      <c r="J73" s="290"/>
      <c r="K73" s="275"/>
      <c r="L73" s="276"/>
      <c r="O73" s="213"/>
    </row>
    <row r="74" spans="1:15" s="277" customFormat="1" ht="8.25" customHeight="1" x14ac:dyDescent="0.3">
      <c r="A74" s="270"/>
      <c r="B74" s="271"/>
      <c r="C74" s="298" t="s">
        <v>233</v>
      </c>
      <c r="D74" s="242" t="s">
        <v>237</v>
      </c>
      <c r="E74" s="238" t="s">
        <v>77</v>
      </c>
      <c r="F74" s="242">
        <f>6*1.45</f>
        <v>8.6999999999999993</v>
      </c>
      <c r="G74" s="414"/>
      <c r="H74" s="274"/>
      <c r="I74" s="274"/>
      <c r="J74" s="290"/>
      <c r="K74" s="275"/>
      <c r="L74" s="276"/>
      <c r="O74" s="213"/>
    </row>
    <row r="75" spans="1:15" s="277" customFormat="1" ht="8.25" customHeight="1" x14ac:dyDescent="0.3">
      <c r="A75" s="270"/>
      <c r="B75" s="271"/>
      <c r="C75" s="298" t="s">
        <v>233</v>
      </c>
      <c r="D75" s="242" t="s">
        <v>238</v>
      </c>
      <c r="E75" s="238" t="s">
        <v>77</v>
      </c>
      <c r="F75" s="242">
        <f>6*1.49</f>
        <v>8.94</v>
      </c>
      <c r="G75" s="414"/>
      <c r="H75" s="274"/>
      <c r="I75" s="274"/>
      <c r="J75" s="290"/>
      <c r="K75" s="275"/>
      <c r="L75" s="276"/>
      <c r="O75" s="213"/>
    </row>
    <row r="76" spans="1:15" s="221" customFormat="1" x14ac:dyDescent="0.3">
      <c r="A76" s="228">
        <f>A64+1</f>
        <v>21</v>
      </c>
      <c r="B76" s="227"/>
      <c r="C76" s="236" t="s">
        <v>141</v>
      </c>
      <c r="D76" s="235" t="s">
        <v>187</v>
      </c>
      <c r="E76" s="225" t="s">
        <v>76</v>
      </c>
      <c r="F76" s="224">
        <f>SUM(F77:F82)</f>
        <v>36.974564999999998</v>
      </c>
      <c r="G76" s="411"/>
      <c r="H76" s="251"/>
      <c r="I76" s="251"/>
      <c r="J76" s="223">
        <f>ROUND(F76*G76,2)</f>
        <v>0</v>
      </c>
      <c r="K76" s="233">
        <v>0.09</v>
      </c>
      <c r="L76" s="222">
        <f>F76*K76</f>
        <v>3.3277108499999999</v>
      </c>
      <c r="M76" s="291"/>
    </row>
    <row r="77" spans="1:15" s="277" customFormat="1" ht="8.25" customHeight="1" x14ac:dyDescent="0.3">
      <c r="A77" s="270"/>
      <c r="B77" s="271"/>
      <c r="C77" s="297">
        <f>C21</f>
        <v>0.68700000000000006</v>
      </c>
      <c r="D77" s="242" t="str">
        <f>D65</f>
        <v>korunní římsa fasády Měšťanský dům č.p. 274 směrem do náměstí</v>
      </c>
      <c r="E77" s="238" t="s">
        <v>76</v>
      </c>
      <c r="F77" s="242">
        <f t="shared" ref="F77:F82" si="18">F65*C77</f>
        <v>9.6867000000000001</v>
      </c>
      <c r="G77" s="414"/>
      <c r="H77" s="274"/>
      <c r="I77" s="274"/>
      <c r="J77" s="290"/>
      <c r="K77" s="275"/>
      <c r="L77" s="276"/>
      <c r="O77" s="213"/>
    </row>
    <row r="78" spans="1:15" s="203" customFormat="1" ht="8.25" customHeight="1" x14ac:dyDescent="0.3">
      <c r="A78" s="206"/>
      <c r="B78" s="207"/>
      <c r="C78" s="297">
        <f>C22</f>
        <v>0.41250000000000003</v>
      </c>
      <c r="D78" s="242" t="str">
        <f>D66</f>
        <v>kordonová římsa fasády Měšťanský dům č.p. 274 směrem do náměstí</v>
      </c>
      <c r="E78" s="238" t="s">
        <v>76</v>
      </c>
      <c r="F78" s="242">
        <f t="shared" si="18"/>
        <v>5.6306250000000002</v>
      </c>
      <c r="G78" s="412"/>
      <c r="H78" s="209"/>
      <c r="I78" s="209"/>
      <c r="J78" s="210"/>
      <c r="K78" s="211"/>
      <c r="L78" s="212"/>
      <c r="O78" s="213"/>
    </row>
    <row r="79" spans="1:15" s="203" customFormat="1" ht="8.25" customHeight="1" x14ac:dyDescent="0.3">
      <c r="A79" s="206"/>
      <c r="B79" s="207"/>
      <c r="C79" s="297">
        <f t="shared" ref="C79:C82" si="19">C23</f>
        <v>0.28499999999999998</v>
      </c>
      <c r="D79" s="242" t="str">
        <f t="shared" ref="D79:D82" si="20">D67</f>
        <v>nadokenní římsa horních oken fasády Měšťanský dům č.p. 274 směrem do náměstí</v>
      </c>
      <c r="E79" s="238" t="s">
        <v>76</v>
      </c>
      <c r="F79" s="242">
        <f t="shared" si="18"/>
        <v>4.0184999999999995</v>
      </c>
      <c r="G79" s="412"/>
      <c r="H79" s="209"/>
      <c r="I79" s="209"/>
      <c r="J79" s="210"/>
      <c r="K79" s="211"/>
      <c r="L79" s="212"/>
      <c r="O79" s="213"/>
    </row>
    <row r="80" spans="1:15" s="203" customFormat="1" ht="8.25" customHeight="1" x14ac:dyDescent="0.3">
      <c r="A80" s="206"/>
      <c r="B80" s="207"/>
      <c r="C80" s="297">
        <f t="shared" si="19"/>
        <v>0.49500000000000005</v>
      </c>
      <c r="D80" s="242" t="str">
        <f t="shared" si="20"/>
        <v>nadokenní římsa spodních oken fasády Měšťanský dům č.p. 274 směrem do náměstí</v>
      </c>
      <c r="E80" s="238" t="s">
        <v>76</v>
      </c>
      <c r="F80" s="242">
        <f t="shared" si="18"/>
        <v>6.9795000000000007</v>
      </c>
      <c r="G80" s="412"/>
      <c r="H80" s="209"/>
      <c r="I80" s="209"/>
      <c r="J80" s="210"/>
      <c r="K80" s="211"/>
      <c r="L80" s="212"/>
      <c r="O80" s="213"/>
    </row>
    <row r="81" spans="1:15" s="203" customFormat="1" ht="8.25" customHeight="1" x14ac:dyDescent="0.3">
      <c r="A81" s="206"/>
      <c r="B81" s="207"/>
      <c r="C81" s="297">
        <f t="shared" si="19"/>
        <v>0.21</v>
      </c>
      <c r="D81" s="242" t="str">
        <f t="shared" si="20"/>
        <v>šambrána horních oken fasády Měšťanský dům č.p. 274 směrem do náměstí</v>
      </c>
      <c r="E81" s="238" t="s">
        <v>76</v>
      </c>
      <c r="F81" s="242">
        <f t="shared" si="18"/>
        <v>3.6539999999999995</v>
      </c>
      <c r="G81" s="412"/>
      <c r="H81" s="209"/>
      <c r="I81" s="209"/>
      <c r="J81" s="210"/>
      <c r="K81" s="211"/>
      <c r="L81" s="212"/>
      <c r="O81" s="213"/>
    </row>
    <row r="82" spans="1:15" s="203" customFormat="1" ht="8.25" customHeight="1" x14ac:dyDescent="0.3">
      <c r="A82" s="206"/>
      <c r="B82" s="207"/>
      <c r="C82" s="297">
        <f t="shared" si="19"/>
        <v>0.28999999999999998</v>
      </c>
      <c r="D82" s="242" t="str">
        <f t="shared" si="20"/>
        <v>šambrána spodních oken fasády Měšťanský dům č.p. 274 směrem do náměstí</v>
      </c>
      <c r="E82" s="238" t="s">
        <v>76</v>
      </c>
      <c r="F82" s="242">
        <f t="shared" si="18"/>
        <v>7.0052400000000006</v>
      </c>
      <c r="G82" s="412"/>
      <c r="H82" s="209"/>
      <c r="I82" s="209"/>
      <c r="J82" s="210"/>
      <c r="K82" s="211"/>
      <c r="L82" s="212"/>
      <c r="O82" s="213"/>
    </row>
    <row r="83" spans="1:15" s="221" customFormat="1" x14ac:dyDescent="0.3">
      <c r="A83" s="228">
        <f>A76+1</f>
        <v>22</v>
      </c>
      <c r="B83" s="227"/>
      <c r="C83" s="236" t="s">
        <v>181</v>
      </c>
      <c r="D83" s="235" t="s">
        <v>186</v>
      </c>
      <c r="E83" s="225" t="s">
        <v>76</v>
      </c>
      <c r="F83" s="224">
        <f>SUM(F84:F88)</f>
        <v>20.416199999999996</v>
      </c>
      <c r="G83" s="411"/>
      <c r="H83" s="251"/>
      <c r="I83" s="251"/>
      <c r="J83" s="223">
        <f>ROUND(F83*G83,2)</f>
        <v>0</v>
      </c>
      <c r="K83" s="233">
        <v>2.0299999999999999E-2</v>
      </c>
      <c r="L83" s="222">
        <f>F83*K83</f>
        <v>0.41444885999999992</v>
      </c>
      <c r="M83" s="291"/>
    </row>
    <row r="84" spans="1:15" s="203" customFormat="1" ht="8.25" customHeight="1" x14ac:dyDescent="0.3">
      <c r="A84" s="206"/>
      <c r="B84" s="207"/>
      <c r="C84" s="297">
        <v>0.25</v>
      </c>
      <c r="D84" s="242" t="str">
        <f>D71</f>
        <v xml:space="preserve">horní rám výzdoby nad hor.okny 2.patro-fasáda Měšťan.dům č.p. 274 směrem do náměstí </v>
      </c>
      <c r="E84" s="238" t="s">
        <v>76</v>
      </c>
      <c r="F84" s="242">
        <f>F71*C84</f>
        <v>3.5249999999999999</v>
      </c>
      <c r="G84" s="412"/>
      <c r="H84" s="209"/>
      <c r="I84" s="209"/>
      <c r="J84" s="210"/>
      <c r="K84" s="211"/>
      <c r="L84" s="212"/>
      <c r="O84" s="213"/>
    </row>
    <row r="85" spans="1:15" s="203" customFormat="1" ht="8.25" customHeight="1" x14ac:dyDescent="0.3">
      <c r="A85" s="206"/>
      <c r="B85" s="207"/>
      <c r="C85" s="297">
        <v>0.25</v>
      </c>
      <c r="D85" s="242" t="str">
        <f>D72</f>
        <v>dolní rám výzdoby  pod hor.okny-fasáda Měšťan.dům č.p. 274 směrem do náměstí</v>
      </c>
      <c r="E85" s="238" t="s">
        <v>76</v>
      </c>
      <c r="F85" s="242">
        <f>F72*C85</f>
        <v>3.5249999999999999</v>
      </c>
      <c r="G85" s="412"/>
      <c r="H85" s="209"/>
      <c r="I85" s="209"/>
      <c r="J85" s="210"/>
      <c r="K85" s="211"/>
      <c r="L85" s="212"/>
      <c r="O85" s="213"/>
    </row>
    <row r="86" spans="1:15" s="203" customFormat="1" ht="8.25" customHeight="1" x14ac:dyDescent="0.3">
      <c r="A86" s="206"/>
      <c r="B86" s="207"/>
      <c r="C86" s="297">
        <v>0.3</v>
      </c>
      <c r="D86" s="242" t="str">
        <f>D73</f>
        <v xml:space="preserve">plastická výzdoba pod hor.okny 2.patro-fasáda Měšťan.dům č.p. 274 směrem do náměstí </v>
      </c>
      <c r="E86" s="238" t="s">
        <v>76</v>
      </c>
      <c r="F86" s="242">
        <f>F73*C86</f>
        <v>4.2299999999999995</v>
      </c>
      <c r="G86" s="412"/>
      <c r="H86" s="209"/>
      <c r="I86" s="209"/>
      <c r="J86" s="210"/>
      <c r="K86" s="211"/>
      <c r="L86" s="212"/>
      <c r="O86" s="213"/>
    </row>
    <row r="87" spans="1:15" s="203" customFormat="1" ht="8.25" customHeight="1" x14ac:dyDescent="0.3">
      <c r="A87" s="206"/>
      <c r="B87" s="207"/>
      <c r="C87" s="297">
        <v>0.3</v>
      </c>
      <c r="D87" s="242" t="str">
        <f>D74</f>
        <v>plastická výzdoba nadokenní prvek (prefabrikát) nad dol.okny-fasáda Měšťan.dům č.p. 274 směrem do náměstí</v>
      </c>
      <c r="E87" s="238" t="s">
        <v>76</v>
      </c>
      <c r="F87" s="242">
        <f>F74*C87</f>
        <v>2.61</v>
      </c>
      <c r="G87" s="412"/>
      <c r="H87" s="209"/>
      <c r="I87" s="209"/>
      <c r="J87" s="210"/>
      <c r="K87" s="211"/>
      <c r="L87" s="212"/>
      <c r="O87" s="213"/>
    </row>
    <row r="88" spans="1:15" s="203" customFormat="1" ht="8.25" customHeight="1" x14ac:dyDescent="0.3">
      <c r="A88" s="206"/>
      <c r="B88" s="207"/>
      <c r="C88" s="297">
        <v>0.73</v>
      </c>
      <c r="D88" s="242" t="str">
        <f>D75</f>
        <v>plastická výzdoba podokenní prvek (parapetní prefabrikát) pod dol.okny-fasáda Měšťan.dům č.p. 274 směrem do náměstí</v>
      </c>
      <c r="E88" s="238" t="s">
        <v>76</v>
      </c>
      <c r="F88" s="242">
        <f>F75*C88</f>
        <v>6.5261999999999993</v>
      </c>
      <c r="G88" s="412"/>
      <c r="H88" s="209"/>
      <c r="I88" s="209"/>
      <c r="J88" s="210"/>
      <c r="K88" s="211"/>
      <c r="L88" s="212"/>
      <c r="O88" s="213"/>
    </row>
    <row r="89" spans="1:15" s="345" customFormat="1" x14ac:dyDescent="0.35">
      <c r="A89" s="228">
        <f>A83+1</f>
        <v>23</v>
      </c>
      <c r="B89" s="228"/>
      <c r="C89" s="226" t="s">
        <v>275</v>
      </c>
      <c r="D89" s="235" t="s">
        <v>204</v>
      </c>
      <c r="E89" s="225" t="s">
        <v>77</v>
      </c>
      <c r="F89" s="344">
        <f>SUM(F91:F92)</f>
        <v>57.618000000000009</v>
      </c>
      <c r="G89" s="411"/>
      <c r="H89" s="234">
        <f>ROUND(F89*AE89,2)</f>
        <v>0</v>
      </c>
      <c r="I89" s="234">
        <f>J89-H89</f>
        <v>0</v>
      </c>
      <c r="J89" s="223">
        <f>ROUND(F89*G89,2)</f>
        <v>0</v>
      </c>
      <c r="K89" s="293">
        <v>2.1000000000000001E-4</v>
      </c>
      <c r="L89" s="294">
        <f>F89*K89</f>
        <v>1.2099780000000003E-2</v>
      </c>
    </row>
    <row r="90" spans="1:15" s="343" customFormat="1" ht="6.75" customHeight="1" x14ac:dyDescent="0.3">
      <c r="A90" s="333"/>
      <c r="B90" s="334"/>
      <c r="C90" s="335"/>
      <c r="D90" s="336" t="s">
        <v>272</v>
      </c>
      <c r="E90" s="337"/>
      <c r="F90" s="338">
        <f>1300/50</f>
        <v>26</v>
      </c>
      <c r="G90" s="417"/>
      <c r="H90" s="339"/>
      <c r="I90" s="339"/>
      <c r="J90" s="340"/>
      <c r="K90" s="341"/>
      <c r="L90" s="342"/>
    </row>
    <row r="91" spans="1:15" s="277" customFormat="1" ht="8.25" customHeight="1" x14ac:dyDescent="0.3">
      <c r="A91" s="270"/>
      <c r="B91" s="271"/>
      <c r="C91" s="297"/>
      <c r="D91" s="242" t="s">
        <v>202</v>
      </c>
      <c r="E91" s="238" t="s">
        <v>77</v>
      </c>
      <c r="F91" s="273">
        <f>6*(1.13+1.25*2)*1.1</f>
        <v>23.958000000000002</v>
      </c>
      <c r="G91" s="416"/>
      <c r="H91" s="274"/>
      <c r="I91" s="274"/>
      <c r="J91" s="290"/>
      <c r="K91" s="275"/>
      <c r="L91" s="276"/>
      <c r="O91" s="213"/>
    </row>
    <row r="92" spans="1:15" s="277" customFormat="1" ht="8.25" customHeight="1" x14ac:dyDescent="0.3">
      <c r="A92" s="270"/>
      <c r="B92" s="271"/>
      <c r="C92" s="297"/>
      <c r="D92" s="242" t="s">
        <v>203</v>
      </c>
      <c r="E92" s="238" t="s">
        <v>77</v>
      </c>
      <c r="F92" s="273">
        <f>6*(1.44+2*1.83)*1.1</f>
        <v>33.660000000000004</v>
      </c>
      <c r="G92" s="414"/>
      <c r="H92" s="274"/>
      <c r="I92" s="274"/>
      <c r="J92" s="290"/>
      <c r="K92" s="275"/>
      <c r="L92" s="276"/>
      <c r="O92" s="213"/>
    </row>
    <row r="93" spans="1:15" s="345" customFormat="1" x14ac:dyDescent="0.35">
      <c r="A93" s="228">
        <f>A89+1</f>
        <v>24</v>
      </c>
      <c r="B93" s="228"/>
      <c r="C93" s="226" t="s">
        <v>278</v>
      </c>
      <c r="D93" s="235" t="s">
        <v>279</v>
      </c>
      <c r="E93" s="225" t="s">
        <v>77</v>
      </c>
      <c r="F93" s="344">
        <f>SUM(F94:F94)</f>
        <v>58.579199999999986</v>
      </c>
      <c r="G93" s="411"/>
      <c r="H93" s="234">
        <f>ROUND(F93*AE93,2)</f>
        <v>0</v>
      </c>
      <c r="I93" s="234">
        <f>J93-H93</f>
        <v>0</v>
      </c>
      <c r="J93" s="223">
        <f>ROUND(F93*G93,2)</f>
        <v>0</v>
      </c>
      <c r="K93" s="293">
        <v>0</v>
      </c>
      <c r="L93" s="294">
        <f>F93*K93</f>
        <v>0</v>
      </c>
    </row>
    <row r="94" spans="1:15" s="277" customFormat="1" ht="8.25" customHeight="1" x14ac:dyDescent="0.3">
      <c r="A94" s="270"/>
      <c r="B94" s="271"/>
      <c r="C94" s="298"/>
      <c r="D94" s="242" t="s">
        <v>180</v>
      </c>
      <c r="E94" s="238" t="s">
        <v>77</v>
      </c>
      <c r="F94" s="273">
        <f>6*1.13*6*1.44</f>
        <v>58.579199999999986</v>
      </c>
      <c r="G94" s="414"/>
      <c r="H94" s="274"/>
      <c r="I94" s="274"/>
      <c r="J94" s="290"/>
      <c r="K94" s="275"/>
      <c r="L94" s="276"/>
      <c r="O94" s="213"/>
    </row>
    <row r="95" spans="1:15" s="345" customFormat="1" x14ac:dyDescent="0.35">
      <c r="A95" s="228">
        <f>A93+1</f>
        <v>25</v>
      </c>
      <c r="B95" s="228"/>
      <c r="C95" s="226" t="s">
        <v>276</v>
      </c>
      <c r="D95" s="235" t="s">
        <v>277</v>
      </c>
      <c r="E95" s="225" t="s">
        <v>77</v>
      </c>
      <c r="F95" s="344">
        <f>SUM(F96:F96)</f>
        <v>57.618000000000009</v>
      </c>
      <c r="G95" s="411"/>
      <c r="H95" s="234"/>
      <c r="I95" s="234"/>
      <c r="J95" s="223">
        <f>ROUND(F95*G95,2)</f>
        <v>0</v>
      </c>
      <c r="K95" s="293">
        <v>1.1E-4</v>
      </c>
      <c r="L95" s="294">
        <f>F95*K95</f>
        <v>6.3379800000000009E-3</v>
      </c>
    </row>
    <row r="96" spans="1:15" s="277" customFormat="1" ht="6.75" customHeight="1" x14ac:dyDescent="0.3">
      <c r="A96" s="346"/>
      <c r="B96" s="271"/>
      <c r="C96" s="305" t="s">
        <v>102</v>
      </c>
      <c r="D96" s="296" t="str">
        <f>D89</f>
        <v>Spára mezi omítkou a výplní otvorů (oknem)</v>
      </c>
      <c r="E96" s="238" t="s">
        <v>77</v>
      </c>
      <c r="F96" s="273">
        <f>F89</f>
        <v>57.618000000000009</v>
      </c>
      <c r="G96" s="414"/>
      <c r="H96" s="274"/>
      <c r="I96" s="274"/>
      <c r="J96" s="332"/>
      <c r="K96" s="230"/>
      <c r="L96" s="229"/>
    </row>
    <row r="97" spans="1:15" s="345" customFormat="1" x14ac:dyDescent="0.35">
      <c r="A97" s="228">
        <f>A95+1</f>
        <v>26</v>
      </c>
      <c r="B97" s="228"/>
      <c r="C97" s="226" t="s">
        <v>273</v>
      </c>
      <c r="D97" s="235" t="s">
        <v>274</v>
      </c>
      <c r="E97" s="225" t="s">
        <v>76</v>
      </c>
      <c r="F97" s="344">
        <f>SUM(F98:F98)</f>
        <v>11.523600000000002</v>
      </c>
      <c r="G97" s="411"/>
      <c r="H97" s="234"/>
      <c r="I97" s="234"/>
      <c r="J97" s="223">
        <f>ROUND(F97*G97,2)</f>
        <v>0</v>
      </c>
      <c r="K97" s="293">
        <v>1.6490000000000001E-2</v>
      </c>
      <c r="L97" s="294">
        <f>F97*K97</f>
        <v>0.19002416400000005</v>
      </c>
    </row>
    <row r="98" spans="1:15" s="277" customFormat="1" ht="6.75" customHeight="1" x14ac:dyDescent="0.3">
      <c r="A98" s="346">
        <v>0.2</v>
      </c>
      <c r="B98" s="271"/>
      <c r="C98" s="305" t="s">
        <v>102</v>
      </c>
      <c r="D98" s="296" t="str">
        <f>D95</f>
        <v>Doplňky zatepl. systémů, okenní rohová lišta s tkaninou</v>
      </c>
      <c r="E98" s="347" t="s">
        <v>76</v>
      </c>
      <c r="F98" s="273">
        <f>F95*A98</f>
        <v>11.523600000000002</v>
      </c>
      <c r="G98" s="414"/>
      <c r="H98" s="274"/>
      <c r="I98" s="274"/>
      <c r="J98" s="332"/>
      <c r="K98" s="230"/>
      <c r="L98" s="229"/>
    </row>
    <row r="99" spans="1:15" s="221" customFormat="1" x14ac:dyDescent="0.3">
      <c r="A99" s="228">
        <f>A97+1</f>
        <v>27</v>
      </c>
      <c r="B99" s="227"/>
      <c r="C99" s="236" t="s">
        <v>156</v>
      </c>
      <c r="D99" s="235" t="s">
        <v>205</v>
      </c>
      <c r="E99" s="225" t="s">
        <v>76</v>
      </c>
      <c r="F99" s="224">
        <f>SUM(F100:F100)</f>
        <v>11.523600000000002</v>
      </c>
      <c r="G99" s="411"/>
      <c r="H99" s="251">
        <f>ROUND(F99*AE99,2)</f>
        <v>0</v>
      </c>
      <c r="I99" s="251">
        <f>J99-H99</f>
        <v>0</v>
      </c>
      <c r="J99" s="223">
        <f>ROUND(F99*G99,2)</f>
        <v>0</v>
      </c>
      <c r="K99" s="233">
        <v>6.5699999999999995E-2</v>
      </c>
      <c r="L99" s="222">
        <f>F99*K99</f>
        <v>0.75710052000000005</v>
      </c>
      <c r="M99" s="291"/>
    </row>
    <row r="100" spans="1:15" s="277" customFormat="1" ht="8.25" customHeight="1" x14ac:dyDescent="0.3">
      <c r="A100" s="270"/>
      <c r="B100" s="271"/>
      <c r="C100" s="305" t="s">
        <v>102</v>
      </c>
      <c r="D100" s="296" t="str">
        <f>D97</f>
        <v>Zateplení ostění spádový klín, zakonč.stěrkou s výzt.tkaninou</v>
      </c>
      <c r="E100" s="347" t="s">
        <v>76</v>
      </c>
      <c r="F100" s="273">
        <f>F97</f>
        <v>11.523600000000002</v>
      </c>
      <c r="G100" s="414"/>
      <c r="H100" s="274"/>
      <c r="I100" s="274"/>
      <c r="J100" s="290"/>
      <c r="K100" s="275"/>
      <c r="L100" s="276"/>
      <c r="O100" s="213"/>
    </row>
    <row r="101" spans="1:15" s="221" customFormat="1" x14ac:dyDescent="0.3">
      <c r="A101" s="228">
        <f>A99+1</f>
        <v>28</v>
      </c>
      <c r="B101" s="227"/>
      <c r="C101" s="236" t="s">
        <v>158</v>
      </c>
      <c r="D101" s="279" t="s">
        <v>196</v>
      </c>
      <c r="E101" s="225" t="s">
        <v>76</v>
      </c>
      <c r="F101" s="224">
        <f>SUM(F102:F104)</f>
        <v>44.05</v>
      </c>
      <c r="G101" s="411"/>
      <c r="H101" s="251"/>
      <c r="I101" s="251"/>
      <c r="J101" s="223">
        <f>ROUND(F101*G101,2)</f>
        <v>0</v>
      </c>
      <c r="K101" s="233">
        <v>5.7230000000000003E-2</v>
      </c>
      <c r="L101" s="222">
        <f>F101*K101</f>
        <v>2.5209815</v>
      </c>
      <c r="M101" s="291"/>
    </row>
    <row r="102" spans="1:15" s="277" customFormat="1" ht="8.25" customHeight="1" x14ac:dyDescent="0.3">
      <c r="A102" s="270"/>
      <c r="B102" s="271"/>
      <c r="C102" s="278"/>
      <c r="D102" s="242" t="s">
        <v>305</v>
      </c>
      <c r="E102" s="238" t="s">
        <v>76</v>
      </c>
      <c r="F102" s="242">
        <v>8.5</v>
      </c>
      <c r="G102" s="414"/>
      <c r="H102" s="274"/>
      <c r="I102" s="274"/>
      <c r="J102" s="290"/>
      <c r="K102" s="275"/>
      <c r="L102" s="276"/>
      <c r="O102" s="213"/>
    </row>
    <row r="103" spans="1:15" s="277" customFormat="1" ht="8.25" customHeight="1" x14ac:dyDescent="0.3">
      <c r="A103" s="306"/>
      <c r="B103" s="271"/>
      <c r="C103" s="305"/>
      <c r="D103" s="242" t="s">
        <v>306</v>
      </c>
      <c r="E103" s="238" t="s">
        <v>76</v>
      </c>
      <c r="F103" s="242">
        <v>23.3</v>
      </c>
      <c r="G103" s="414"/>
      <c r="H103" s="274"/>
      <c r="I103" s="274"/>
      <c r="J103" s="290"/>
      <c r="K103" s="275"/>
      <c r="L103" s="276"/>
      <c r="O103" s="213"/>
    </row>
    <row r="104" spans="1:15" s="277" customFormat="1" ht="8.25" customHeight="1" x14ac:dyDescent="0.3">
      <c r="A104" s="306"/>
      <c r="B104" s="271"/>
      <c r="C104" s="305"/>
      <c r="D104" s="242" t="s">
        <v>307</v>
      </c>
      <c r="E104" s="238" t="s">
        <v>76</v>
      </c>
      <c r="F104" s="242">
        <v>12.25</v>
      </c>
      <c r="G104" s="414"/>
      <c r="H104" s="274"/>
      <c r="I104" s="274"/>
      <c r="J104" s="290"/>
      <c r="K104" s="275"/>
      <c r="L104" s="276"/>
      <c r="O104" s="213"/>
    </row>
    <row r="105" spans="1:15" s="221" customFormat="1" x14ac:dyDescent="0.3">
      <c r="A105" s="228">
        <f>A101+1</f>
        <v>29</v>
      </c>
      <c r="B105" s="227"/>
      <c r="C105" s="236" t="s">
        <v>173</v>
      </c>
      <c r="D105" s="279" t="s">
        <v>308</v>
      </c>
      <c r="E105" s="225" t="s">
        <v>76</v>
      </c>
      <c r="F105" s="224">
        <f>F106</f>
        <v>10</v>
      </c>
      <c r="G105" s="411"/>
      <c r="H105" s="234"/>
      <c r="I105" s="234"/>
      <c r="J105" s="223">
        <f>ROUND(F105*G105,2)</f>
        <v>0</v>
      </c>
      <c r="K105" s="233">
        <v>1.1368999999999999E-3</v>
      </c>
      <c r="L105" s="294">
        <f>F105*K105</f>
        <v>1.1368999999999999E-2</v>
      </c>
    </row>
    <row r="106" spans="1:15" s="277" customFormat="1" ht="6.75" customHeight="1" x14ac:dyDescent="0.3">
      <c r="A106" s="346"/>
      <c r="B106" s="271"/>
      <c r="C106" s="305"/>
      <c r="D106" s="277" t="s">
        <v>309</v>
      </c>
      <c r="E106" s="238" t="s">
        <v>76</v>
      </c>
      <c r="F106" s="242">
        <v>10</v>
      </c>
      <c r="G106" s="414"/>
      <c r="H106" s="274"/>
      <c r="I106" s="274"/>
      <c r="J106" s="332"/>
      <c r="K106" s="230"/>
      <c r="L106" s="229"/>
    </row>
    <row r="107" spans="1:15" s="221" customFormat="1" x14ac:dyDescent="0.3">
      <c r="A107" s="228">
        <f>A105+1</f>
        <v>30</v>
      </c>
      <c r="B107" s="227"/>
      <c r="C107" s="236" t="s">
        <v>142</v>
      </c>
      <c r="D107" s="235" t="s">
        <v>143</v>
      </c>
      <c r="E107" s="225" t="s">
        <v>76</v>
      </c>
      <c r="F107" s="224">
        <f>SUM(F108:F111)</f>
        <v>112.964365</v>
      </c>
      <c r="G107" s="411"/>
      <c r="H107" s="251"/>
      <c r="I107" s="251"/>
      <c r="J107" s="223">
        <f>ROUND(F107*G107,2)</f>
        <v>0</v>
      </c>
      <c r="K107" s="233">
        <v>3.0000000000000001E-3</v>
      </c>
      <c r="L107" s="222">
        <f>F107*K107</f>
        <v>0.33889309500000003</v>
      </c>
      <c r="M107" s="291"/>
    </row>
    <row r="108" spans="1:15" s="277" customFormat="1" ht="8.25" customHeight="1" x14ac:dyDescent="0.3">
      <c r="A108" s="270"/>
      <c r="B108" s="271"/>
      <c r="C108" s="298" t="s">
        <v>102</v>
      </c>
      <c r="D108" s="296" t="str">
        <f>D76</f>
        <v>Omítka jemná říms,šambrán z aktiv.malty s vápen.hydraul.pojivem</v>
      </c>
      <c r="E108" s="238" t="s">
        <v>76</v>
      </c>
      <c r="F108" s="242">
        <f>F76</f>
        <v>36.974564999999998</v>
      </c>
      <c r="G108" s="414"/>
      <c r="H108" s="274"/>
      <c r="I108" s="274"/>
      <c r="J108" s="290"/>
      <c r="K108" s="275"/>
      <c r="L108" s="276"/>
      <c r="O108" s="213"/>
    </row>
    <row r="109" spans="1:15" s="277" customFormat="1" ht="8.25" customHeight="1" x14ac:dyDescent="0.3">
      <c r="A109" s="270"/>
      <c r="B109" s="271"/>
      <c r="C109" s="298" t="s">
        <v>102</v>
      </c>
      <c r="D109" s="242" t="str">
        <f>D83</f>
        <v>Oprava restaurátorskými postupy - aktivní prvky (prefabrikáty)</v>
      </c>
      <c r="E109" s="238" t="s">
        <v>76</v>
      </c>
      <c r="F109" s="242">
        <f>F83</f>
        <v>20.416199999999996</v>
      </c>
      <c r="G109" s="414"/>
      <c r="H109" s="274"/>
      <c r="I109" s="274"/>
      <c r="J109" s="290"/>
      <c r="K109" s="275"/>
      <c r="L109" s="276"/>
      <c r="O109" s="213"/>
    </row>
    <row r="110" spans="1:15" s="277" customFormat="1" ht="8.25" customHeight="1" x14ac:dyDescent="0.3">
      <c r="A110" s="270"/>
      <c r="B110" s="271"/>
      <c r="C110" s="298" t="s">
        <v>102</v>
      </c>
      <c r="D110" s="296" t="str">
        <f>D99</f>
        <v xml:space="preserve">Omítka ostění,nadpraží, štuková, vápenná s vápen.hydraul.pojivem </v>
      </c>
      <c r="E110" s="238" t="s">
        <v>76</v>
      </c>
      <c r="F110" s="242">
        <f>F99</f>
        <v>11.523600000000002</v>
      </c>
      <c r="G110" s="414"/>
      <c r="H110" s="274"/>
      <c r="I110" s="274"/>
      <c r="J110" s="290"/>
      <c r="K110" s="275"/>
      <c r="L110" s="276"/>
      <c r="O110" s="213"/>
    </row>
    <row r="111" spans="1:15" s="277" customFormat="1" ht="8.25" customHeight="1" x14ac:dyDescent="0.3">
      <c r="A111" s="270"/>
      <c r="B111" s="271"/>
      <c r="C111" s="298" t="s">
        <v>102</v>
      </c>
      <c r="D111" s="296" t="str">
        <f>D101</f>
        <v>Omítka stěn,štuková,vápenná s vápen.hydraul.pojivem na pasiv.plochách</v>
      </c>
      <c r="E111" s="238" t="s">
        <v>76</v>
      </c>
      <c r="F111" s="242">
        <f>F101</f>
        <v>44.05</v>
      </c>
      <c r="G111" s="414"/>
      <c r="H111" s="274"/>
      <c r="I111" s="274"/>
      <c r="J111" s="290"/>
      <c r="K111" s="275"/>
      <c r="L111" s="276"/>
      <c r="O111" s="213"/>
    </row>
    <row r="112" spans="1:15" s="221" customFormat="1" x14ac:dyDescent="0.3">
      <c r="A112" s="228">
        <f>A107+1</f>
        <v>31</v>
      </c>
      <c r="B112" s="227"/>
      <c r="C112" s="236" t="s">
        <v>173</v>
      </c>
      <c r="D112" s="279" t="s">
        <v>172</v>
      </c>
      <c r="E112" s="225" t="s">
        <v>76</v>
      </c>
      <c r="F112" s="224">
        <f>SUM(F113:F114)</f>
        <v>112.964365</v>
      </c>
      <c r="G112" s="411"/>
      <c r="H112" s="234"/>
      <c r="I112" s="234"/>
      <c r="J112" s="223">
        <f>ROUND(F112*G112,2)</f>
        <v>0</v>
      </c>
      <c r="K112" s="233">
        <v>1.1368999999999999E-3</v>
      </c>
      <c r="L112" s="222">
        <f>F112*K112</f>
        <v>0.1284291865685</v>
      </c>
      <c r="M112" s="291"/>
    </row>
    <row r="113" spans="1:15" s="218" customFormat="1" ht="7.5" customHeight="1" x14ac:dyDescent="0.3">
      <c r="C113" s="215"/>
      <c r="D113" s="299" t="s">
        <v>174</v>
      </c>
      <c r="E113" s="300"/>
      <c r="F113" s="301"/>
      <c r="G113" s="418"/>
      <c r="H113" s="302"/>
      <c r="I113" s="302"/>
      <c r="J113" s="216"/>
      <c r="K113" s="303"/>
      <c r="L113" s="217"/>
    </row>
    <row r="114" spans="1:15" s="277" customFormat="1" ht="8.25" customHeight="1" x14ac:dyDescent="0.3">
      <c r="A114" s="270"/>
      <c r="B114" s="271"/>
      <c r="C114" s="298" t="s">
        <v>102</v>
      </c>
      <c r="D114" s="296" t="str">
        <f>D107</f>
        <v>Příplatek k položce za vícebarevný nátěr omítky</v>
      </c>
      <c r="E114" s="238" t="s">
        <v>76</v>
      </c>
      <c r="F114" s="242">
        <f>F107</f>
        <v>112.964365</v>
      </c>
      <c r="G114" s="414"/>
      <c r="H114" s="274"/>
      <c r="I114" s="274"/>
      <c r="J114" s="290"/>
      <c r="K114" s="275"/>
      <c r="L114" s="276"/>
      <c r="O114" s="213"/>
    </row>
    <row r="115" spans="1:15" s="221" customFormat="1" x14ac:dyDescent="0.3">
      <c r="A115" s="228">
        <f>A112+1</f>
        <v>32</v>
      </c>
      <c r="B115" s="227"/>
      <c r="C115" s="236" t="s">
        <v>280</v>
      </c>
      <c r="D115" s="235" t="s">
        <v>281</v>
      </c>
      <c r="E115" s="225" t="s">
        <v>77</v>
      </c>
      <c r="F115" s="224">
        <f>F116</f>
        <v>58.579199999999986</v>
      </c>
      <c r="G115" s="411"/>
      <c r="H115" s="234"/>
      <c r="I115" s="234"/>
      <c r="J115" s="223">
        <f>ROUND(F115*G115,2)</f>
        <v>0</v>
      </c>
      <c r="K115" s="348">
        <v>1.06E-2</v>
      </c>
      <c r="L115" s="294">
        <f>F115*K115</f>
        <v>0.62093951999999986</v>
      </c>
    </row>
    <row r="116" spans="1:15" s="277" customFormat="1" ht="6.75" customHeight="1" x14ac:dyDescent="0.3">
      <c r="A116" s="346"/>
      <c r="B116" s="271"/>
      <c r="C116" s="305" t="s">
        <v>102</v>
      </c>
      <c r="D116" s="296" t="str">
        <f>D93</f>
        <v>Doplňky zatepl. systémů, podparapetní lišta s tkan</v>
      </c>
      <c r="E116" s="347" t="s">
        <v>77</v>
      </c>
      <c r="F116" s="242">
        <f>F93</f>
        <v>58.579199999999986</v>
      </c>
      <c r="G116" s="414"/>
      <c r="H116" s="274"/>
      <c r="I116" s="274"/>
      <c r="J116" s="332"/>
      <c r="K116" s="230"/>
      <c r="L116" s="229"/>
    </row>
    <row r="117" spans="1:15" s="221" customFormat="1" x14ac:dyDescent="0.3">
      <c r="A117" s="228">
        <f>A115+1</f>
        <v>33</v>
      </c>
      <c r="B117" s="228"/>
      <c r="C117" s="226" t="s">
        <v>257</v>
      </c>
      <c r="D117" s="279" t="s">
        <v>258</v>
      </c>
      <c r="E117" s="225" t="s">
        <v>221</v>
      </c>
      <c r="F117" s="292">
        <f>SUM(F118:F118)</f>
        <v>1</v>
      </c>
      <c r="G117" s="411"/>
      <c r="H117" s="234"/>
      <c r="I117" s="234"/>
      <c r="J117" s="223">
        <f>ROUND(F117*G117,2)</f>
        <v>0</v>
      </c>
      <c r="K117" s="293">
        <v>6.1799999999999997E-3</v>
      </c>
      <c r="L117" s="294">
        <f>F117*K117</f>
        <v>6.1799999999999997E-3</v>
      </c>
    </row>
    <row r="118" spans="1:15" s="201" customFormat="1" ht="7.5" customHeight="1" x14ac:dyDescent="0.3">
      <c r="A118" s="186"/>
      <c r="B118" s="187"/>
      <c r="C118" s="215"/>
      <c r="D118" s="214" t="s">
        <v>259</v>
      </c>
      <c r="E118" s="208" t="s">
        <v>221</v>
      </c>
      <c r="F118" s="242">
        <v>1</v>
      </c>
      <c r="G118" s="419"/>
      <c r="H118" s="188"/>
      <c r="I118" s="188"/>
      <c r="J118" s="189"/>
      <c r="K118" s="190"/>
      <c r="L118" s="191"/>
    </row>
    <row r="119" spans="1:15" s="221" customFormat="1" x14ac:dyDescent="0.3">
      <c r="A119" s="228">
        <f>A117+1</f>
        <v>34</v>
      </c>
      <c r="B119" s="228"/>
      <c r="C119" s="226" t="s">
        <v>257</v>
      </c>
      <c r="D119" s="235" t="s">
        <v>261</v>
      </c>
      <c r="E119" s="225" t="s">
        <v>221</v>
      </c>
      <c r="F119" s="292">
        <f>SUM(F120:F120)</f>
        <v>1</v>
      </c>
      <c r="G119" s="411"/>
      <c r="H119" s="234"/>
      <c r="I119" s="234"/>
      <c r="J119" s="223">
        <f>ROUND(F119*G119,2)</f>
        <v>0</v>
      </c>
      <c r="K119" s="293">
        <v>6.1799999999999997E-3</v>
      </c>
      <c r="L119" s="294">
        <f>F119*K119</f>
        <v>6.1799999999999997E-3</v>
      </c>
    </row>
    <row r="120" spans="1:15" s="201" customFormat="1" ht="7.5" customHeight="1" x14ac:dyDescent="0.3">
      <c r="A120" s="186"/>
      <c r="B120" s="187"/>
      <c r="C120" s="215" t="s">
        <v>102</v>
      </c>
      <c r="D120" s="214" t="str">
        <f>D117</f>
        <v xml:space="preserve">Restaurátor-Vytvoření kopie (domodelování, forma a odlití / vydusání) </v>
      </c>
      <c r="E120" s="208" t="s">
        <v>221</v>
      </c>
      <c r="F120" s="242">
        <f>F117</f>
        <v>1</v>
      </c>
      <c r="G120" s="419"/>
      <c r="H120" s="188"/>
      <c r="I120" s="188"/>
      <c r="J120" s="189"/>
      <c r="K120" s="190"/>
      <c r="L120" s="191"/>
    </row>
    <row r="121" spans="1:15" s="221" customFormat="1" x14ac:dyDescent="0.3">
      <c r="A121" s="228">
        <f>A119+1</f>
        <v>35</v>
      </c>
      <c r="B121" s="228"/>
      <c r="C121" s="226" t="s">
        <v>257</v>
      </c>
      <c r="D121" s="279" t="s">
        <v>260</v>
      </c>
      <c r="E121" s="225" t="s">
        <v>221</v>
      </c>
      <c r="F121" s="292">
        <f>SUM(F122:F122)</f>
        <v>2</v>
      </c>
      <c r="G121" s="411"/>
      <c r="H121" s="234"/>
      <c r="I121" s="234"/>
      <c r="J121" s="223">
        <f>ROUND(F121*G121,2)</f>
        <v>0</v>
      </c>
      <c r="K121" s="293">
        <v>6.1799999999999997E-3</v>
      </c>
      <c r="L121" s="294">
        <f>F121*K121</f>
        <v>1.2359999999999999E-2</v>
      </c>
    </row>
    <row r="122" spans="1:15" s="201" customFormat="1" ht="7.5" customHeight="1" x14ac:dyDescent="0.3">
      <c r="A122" s="186"/>
      <c r="B122" s="187"/>
      <c r="C122" s="215"/>
      <c r="D122" s="214" t="s">
        <v>259</v>
      </c>
      <c r="E122" s="208" t="s">
        <v>221</v>
      </c>
      <c r="F122" s="242">
        <v>2</v>
      </c>
      <c r="G122" s="419"/>
      <c r="H122" s="188"/>
      <c r="I122" s="188"/>
      <c r="J122" s="189"/>
      <c r="K122" s="190"/>
      <c r="L122" s="191"/>
    </row>
    <row r="123" spans="1:15" s="221" customFormat="1" x14ac:dyDescent="0.3">
      <c r="A123" s="228">
        <f t="shared" ref="A123" si="21">A121+1</f>
        <v>36</v>
      </c>
      <c r="B123" s="228"/>
      <c r="C123" s="226" t="s">
        <v>257</v>
      </c>
      <c r="D123" s="235" t="s">
        <v>262</v>
      </c>
      <c r="E123" s="225" t="s">
        <v>221</v>
      </c>
      <c r="F123" s="292">
        <f>SUM(F124:F124)</f>
        <v>6</v>
      </c>
      <c r="G123" s="411"/>
      <c r="H123" s="234"/>
      <c r="I123" s="234"/>
      <c r="J123" s="223">
        <f t="shared" ref="J123" si="22">ROUND(F123*G123,2)</f>
        <v>0</v>
      </c>
      <c r="K123" s="293">
        <v>6.1799999999999997E-3</v>
      </c>
      <c r="L123" s="294">
        <f t="shared" ref="L123" si="23">F123*K123</f>
        <v>3.7080000000000002E-2</v>
      </c>
    </row>
    <row r="124" spans="1:15" s="201" customFormat="1" ht="7.5" customHeight="1" x14ac:dyDescent="0.3">
      <c r="A124" s="186"/>
      <c r="B124" s="187"/>
      <c r="C124" s="215"/>
      <c r="D124" s="214" t="s">
        <v>259</v>
      </c>
      <c r="E124" s="208" t="s">
        <v>221</v>
      </c>
      <c r="F124" s="242">
        <v>6</v>
      </c>
      <c r="G124" s="419"/>
      <c r="H124" s="188"/>
      <c r="I124" s="188"/>
      <c r="J124" s="189"/>
      <c r="K124" s="190"/>
      <c r="L124" s="191"/>
    </row>
    <row r="125" spans="1:15" s="221" customFormat="1" x14ac:dyDescent="0.3">
      <c r="A125" s="228">
        <f t="shared" ref="A125" si="24">A123+1</f>
        <v>37</v>
      </c>
      <c r="B125" s="228"/>
      <c r="C125" s="226" t="s">
        <v>257</v>
      </c>
      <c r="D125" s="279" t="s">
        <v>265</v>
      </c>
      <c r="E125" s="225" t="s">
        <v>221</v>
      </c>
      <c r="F125" s="292">
        <f>SUM(F126:F126)</f>
        <v>1</v>
      </c>
      <c r="G125" s="411"/>
      <c r="H125" s="234"/>
      <c r="I125" s="234"/>
      <c r="J125" s="223">
        <f t="shared" ref="J125" si="25">ROUND(F125*G125,2)</f>
        <v>0</v>
      </c>
      <c r="K125" s="293">
        <v>6.1799999999999997E-3</v>
      </c>
      <c r="L125" s="294">
        <f t="shared" ref="L125" si="26">F125*K125</f>
        <v>6.1799999999999997E-3</v>
      </c>
    </row>
    <row r="126" spans="1:15" s="201" customFormat="1" ht="7.5" customHeight="1" x14ac:dyDescent="0.3">
      <c r="A126" s="186"/>
      <c r="B126" s="187"/>
      <c r="C126" s="215"/>
      <c r="D126" s="214" t="s">
        <v>271</v>
      </c>
      <c r="E126" s="208" t="s">
        <v>221</v>
      </c>
      <c r="F126" s="242">
        <v>1</v>
      </c>
      <c r="G126" s="419"/>
      <c r="H126" s="188"/>
      <c r="I126" s="188"/>
      <c r="J126" s="189"/>
      <c r="K126" s="190"/>
      <c r="L126" s="191"/>
    </row>
    <row r="127" spans="1:15" s="221" customFormat="1" x14ac:dyDescent="0.3">
      <c r="A127" s="228">
        <f t="shared" ref="A127" si="27">A125+1</f>
        <v>38</v>
      </c>
      <c r="B127" s="228"/>
      <c r="C127" s="226" t="s">
        <v>257</v>
      </c>
      <c r="D127" s="279" t="s">
        <v>266</v>
      </c>
      <c r="E127" s="225" t="s">
        <v>221</v>
      </c>
      <c r="F127" s="292">
        <f>SUM(F128:F128)</f>
        <v>1</v>
      </c>
      <c r="G127" s="411"/>
      <c r="H127" s="234"/>
      <c r="I127" s="234"/>
      <c r="J127" s="223">
        <f t="shared" ref="J127" si="28">ROUND(F127*G127,2)</f>
        <v>0</v>
      </c>
      <c r="K127" s="293">
        <v>6.1799999999999997E-3</v>
      </c>
      <c r="L127" s="294">
        <f t="shared" ref="L127" si="29">F127*K127</f>
        <v>6.1799999999999997E-3</v>
      </c>
    </row>
    <row r="128" spans="1:15" s="201" customFormat="1" ht="7.5" customHeight="1" x14ac:dyDescent="0.3">
      <c r="A128" s="186"/>
      <c r="B128" s="187"/>
      <c r="C128" s="215"/>
      <c r="D128" s="214" t="s">
        <v>259</v>
      </c>
      <c r="E128" s="208" t="s">
        <v>221</v>
      </c>
      <c r="F128" s="242">
        <v>1</v>
      </c>
      <c r="G128" s="419"/>
      <c r="H128" s="188"/>
      <c r="I128" s="188"/>
      <c r="J128" s="189"/>
      <c r="K128" s="190"/>
      <c r="L128" s="191"/>
    </row>
    <row r="129" spans="1:15" x14ac:dyDescent="0.3">
      <c r="A129" s="156"/>
      <c r="B129" s="132"/>
      <c r="C129" s="133"/>
      <c r="D129" s="134" t="str">
        <f>'1-Rekapitulace'!B13</f>
        <v>764 : Konstrukce klempířské</v>
      </c>
      <c r="E129" s="135"/>
      <c r="F129" s="136"/>
      <c r="G129" s="413"/>
      <c r="H129" s="157"/>
      <c r="I129" s="157"/>
      <c r="J129" s="137">
        <f>SUM(J130:J152)</f>
        <v>0</v>
      </c>
      <c r="K129" s="158"/>
      <c r="L129" s="130">
        <f>SUM(L130:L152)</f>
        <v>0.16675000000000001</v>
      </c>
    </row>
    <row r="130" spans="1:15" s="221" customFormat="1" x14ac:dyDescent="0.3">
      <c r="A130" s="228">
        <f>A127+1</f>
        <v>39</v>
      </c>
      <c r="B130" s="227"/>
      <c r="C130" s="226" t="s">
        <v>206</v>
      </c>
      <c r="D130" s="235" t="s">
        <v>207</v>
      </c>
      <c r="E130" s="225" t="s">
        <v>77</v>
      </c>
      <c r="F130" s="224">
        <f>SUM(F131:F131)</f>
        <v>11.5</v>
      </c>
      <c r="G130" s="411"/>
      <c r="H130" s="234"/>
      <c r="I130" s="234"/>
      <c r="J130" s="223">
        <f>ROUND(F130*G130,2)</f>
        <v>0</v>
      </c>
      <c r="K130" s="233"/>
      <c r="L130" s="222"/>
    </row>
    <row r="131" spans="1:15" s="277" customFormat="1" ht="8.25" customHeight="1" x14ac:dyDescent="0.3">
      <c r="A131" s="270"/>
      <c r="B131" s="271"/>
      <c r="C131" s="289"/>
      <c r="D131" s="242" t="s">
        <v>225</v>
      </c>
      <c r="E131" s="238" t="s">
        <v>77</v>
      </c>
      <c r="F131" s="242">
        <v>11.5</v>
      </c>
      <c r="G131" s="414"/>
      <c r="H131" s="274"/>
      <c r="I131" s="274"/>
      <c r="J131" s="290"/>
      <c r="K131" s="275"/>
      <c r="L131" s="276"/>
      <c r="O131" s="213"/>
    </row>
    <row r="132" spans="1:15" s="221" customFormat="1" x14ac:dyDescent="0.3">
      <c r="A132" s="228">
        <f>A130+1</f>
        <v>40</v>
      </c>
      <c r="B132" s="227"/>
      <c r="C132" s="226" t="s">
        <v>210</v>
      </c>
      <c r="D132" s="235" t="s">
        <v>211</v>
      </c>
      <c r="E132" s="225" t="s">
        <v>100</v>
      </c>
      <c r="F132" s="224">
        <f>SUM(F133:F133)</f>
        <v>2</v>
      </c>
      <c r="G132" s="411"/>
      <c r="H132" s="234"/>
      <c r="I132" s="234"/>
      <c r="J132" s="223">
        <f>ROUND(F132*G132,2)</f>
        <v>0</v>
      </c>
      <c r="K132" s="233"/>
      <c r="L132" s="222"/>
    </row>
    <row r="133" spans="1:15" s="277" customFormat="1" ht="8.25" customHeight="1" x14ac:dyDescent="0.3">
      <c r="A133" s="270"/>
      <c r="B133" s="271"/>
      <c r="C133" s="298" t="s">
        <v>102</v>
      </c>
      <c r="D133" s="296" t="str">
        <f>D130</f>
        <v>Odpadní trouby z Cu plechu, kruhové, D 120 mm</v>
      </c>
      <c r="E133" s="239" t="s">
        <v>221</v>
      </c>
      <c r="F133" s="242">
        <v>2</v>
      </c>
      <c r="G133" s="414"/>
      <c r="H133" s="274"/>
      <c r="I133" s="274"/>
      <c r="J133" s="290"/>
      <c r="K133" s="275"/>
      <c r="L133" s="276"/>
      <c r="O133" s="213"/>
    </row>
    <row r="134" spans="1:15" s="221" customFormat="1" x14ac:dyDescent="0.3">
      <c r="A134" s="228">
        <f>A132+1</f>
        <v>41</v>
      </c>
      <c r="B134" s="227"/>
      <c r="C134" s="226" t="s">
        <v>223</v>
      </c>
      <c r="D134" s="235" t="s">
        <v>224</v>
      </c>
      <c r="E134" s="225" t="s">
        <v>77</v>
      </c>
      <c r="F134" s="224">
        <f>SUM(F135:F135)</f>
        <v>14.1</v>
      </c>
      <c r="G134" s="411"/>
      <c r="H134" s="234"/>
      <c r="I134" s="234"/>
      <c r="J134" s="223">
        <f>ROUND(F134*G134,2)</f>
        <v>0</v>
      </c>
      <c r="K134" s="233"/>
      <c r="L134" s="222"/>
    </row>
    <row r="135" spans="1:15" s="277" customFormat="1" ht="8.25" customHeight="1" x14ac:dyDescent="0.3">
      <c r="A135" s="270"/>
      <c r="B135" s="271"/>
      <c r="C135" s="289"/>
      <c r="D135" s="242" t="s">
        <v>222</v>
      </c>
      <c r="E135" s="238" t="s">
        <v>77</v>
      </c>
      <c r="F135" s="242">
        <f>14.1</f>
        <v>14.1</v>
      </c>
      <c r="G135" s="414"/>
      <c r="H135" s="274"/>
      <c r="I135" s="274"/>
      <c r="J135" s="290"/>
      <c r="K135" s="275"/>
      <c r="L135" s="276"/>
      <c r="O135" s="213"/>
    </row>
    <row r="136" spans="1:15" s="221" customFormat="1" x14ac:dyDescent="0.3">
      <c r="A136" s="228">
        <f>A134+1</f>
        <v>42</v>
      </c>
      <c r="B136" s="227"/>
      <c r="C136" s="226" t="s">
        <v>212</v>
      </c>
      <c r="D136" s="235" t="s">
        <v>213</v>
      </c>
      <c r="E136" s="225" t="s">
        <v>77</v>
      </c>
      <c r="F136" s="224">
        <f>F137</f>
        <v>14.1</v>
      </c>
      <c r="G136" s="411"/>
      <c r="H136" s="234"/>
      <c r="I136" s="234"/>
      <c r="J136" s="223">
        <f>ROUND(F136*G136,2)</f>
        <v>0</v>
      </c>
      <c r="K136" s="233"/>
      <c r="L136" s="222"/>
    </row>
    <row r="137" spans="1:15" s="277" customFormat="1" ht="8.25" customHeight="1" x14ac:dyDescent="0.3">
      <c r="A137" s="270"/>
      <c r="B137" s="271"/>
      <c r="C137" s="298" t="s">
        <v>102</v>
      </c>
      <c r="D137" s="296" t="str">
        <f>D134</f>
        <v>Oplechování okapů Cu, rš do 125mm krycí lišta mřížky.</v>
      </c>
      <c r="E137" s="239" t="s">
        <v>77</v>
      </c>
      <c r="F137" s="242">
        <f>F134</f>
        <v>14.1</v>
      </c>
      <c r="G137" s="414"/>
      <c r="H137" s="274"/>
      <c r="I137" s="274"/>
      <c r="J137" s="290"/>
      <c r="K137" s="275"/>
      <c r="L137" s="276"/>
      <c r="O137" s="213"/>
    </row>
    <row r="138" spans="1:15" s="221" customFormat="1" x14ac:dyDescent="0.3">
      <c r="A138" s="228">
        <f>A136+1</f>
        <v>43</v>
      </c>
      <c r="B138" s="227"/>
      <c r="C138" s="226" t="s">
        <v>220</v>
      </c>
      <c r="D138" s="235" t="s">
        <v>218</v>
      </c>
      <c r="E138" s="225" t="s">
        <v>77</v>
      </c>
      <c r="F138" s="224">
        <f>SUM(F139:F140)</f>
        <v>19.25</v>
      </c>
      <c r="G138" s="411"/>
      <c r="H138" s="234"/>
      <c r="I138" s="234"/>
      <c r="J138" s="223">
        <f>ROUND(F138*G138,2)</f>
        <v>0</v>
      </c>
      <c r="K138" s="233"/>
      <c r="L138" s="222"/>
    </row>
    <row r="139" spans="1:15" s="277" customFormat="1" ht="8.25" customHeight="1" x14ac:dyDescent="0.3">
      <c r="A139" s="270"/>
      <c r="B139" s="271"/>
      <c r="C139" s="289"/>
      <c r="D139" s="242" t="s">
        <v>226</v>
      </c>
      <c r="E139" s="238" t="s">
        <v>77</v>
      </c>
      <c r="F139" s="242">
        <v>8.4</v>
      </c>
      <c r="G139" s="414"/>
      <c r="H139" s="274"/>
      <c r="I139" s="274"/>
      <c r="J139" s="290"/>
      <c r="K139" s="275"/>
      <c r="L139" s="276"/>
      <c r="O139" s="213"/>
    </row>
    <row r="140" spans="1:15" s="277" customFormat="1" ht="8.25" customHeight="1" x14ac:dyDescent="0.3">
      <c r="A140" s="270"/>
      <c r="B140" s="271"/>
      <c r="C140" s="289"/>
      <c r="D140" s="242" t="s">
        <v>227</v>
      </c>
      <c r="E140" s="239" t="s">
        <v>77</v>
      </c>
      <c r="F140" s="242">
        <v>10.85</v>
      </c>
      <c r="G140" s="414"/>
      <c r="H140" s="274"/>
      <c r="I140" s="274"/>
      <c r="J140" s="290"/>
      <c r="K140" s="275"/>
      <c r="L140" s="276"/>
      <c r="O140" s="213"/>
    </row>
    <row r="141" spans="1:15" s="221" customFormat="1" x14ac:dyDescent="0.3">
      <c r="A141" s="228">
        <f>A138+1</f>
        <v>44</v>
      </c>
      <c r="B141" s="227"/>
      <c r="C141" s="226" t="s">
        <v>214</v>
      </c>
      <c r="D141" s="235" t="s">
        <v>215</v>
      </c>
      <c r="E141" s="225" t="s">
        <v>77</v>
      </c>
      <c r="F141" s="224">
        <f>SUM(F142:F142)</f>
        <v>14.1</v>
      </c>
      <c r="G141" s="411"/>
      <c r="H141" s="234"/>
      <c r="I141" s="234"/>
      <c r="J141" s="223">
        <f>ROUND(F141*G141,2)</f>
        <v>0</v>
      </c>
      <c r="K141" s="233"/>
      <c r="L141" s="222"/>
    </row>
    <row r="142" spans="1:15" s="277" customFormat="1" ht="8.25" customHeight="1" x14ac:dyDescent="0.3">
      <c r="A142" s="270"/>
      <c r="B142" s="271"/>
      <c r="C142" s="289"/>
      <c r="D142" s="242" t="s">
        <v>228</v>
      </c>
      <c r="E142" s="238" t="s">
        <v>77</v>
      </c>
      <c r="F142" s="242">
        <f>F135</f>
        <v>14.1</v>
      </c>
      <c r="G142" s="414"/>
      <c r="H142" s="274"/>
      <c r="I142" s="274"/>
      <c r="J142" s="290"/>
      <c r="K142" s="275"/>
      <c r="L142" s="276"/>
      <c r="O142" s="213"/>
    </row>
    <row r="143" spans="1:15" s="221" customFormat="1" x14ac:dyDescent="0.3">
      <c r="A143" s="228">
        <f>A141+1</f>
        <v>45</v>
      </c>
      <c r="B143" s="227"/>
      <c r="C143" s="226" t="s">
        <v>229</v>
      </c>
      <c r="D143" s="235" t="s">
        <v>219</v>
      </c>
      <c r="E143" s="225" t="s">
        <v>77</v>
      </c>
      <c r="F143" s="224">
        <f>F144</f>
        <v>10.8</v>
      </c>
      <c r="G143" s="411"/>
      <c r="H143" s="234"/>
      <c r="I143" s="234"/>
      <c r="J143" s="223">
        <f t="shared" ref="J143" si="30">ROUND(F143*G143,2)</f>
        <v>0</v>
      </c>
      <c r="K143" s="233"/>
      <c r="L143" s="222"/>
    </row>
    <row r="144" spans="1:15" s="277" customFormat="1" ht="8.25" customHeight="1" x14ac:dyDescent="0.3">
      <c r="A144" s="270"/>
      <c r="B144" s="271"/>
      <c r="C144" s="289"/>
      <c r="D144" s="242" t="s">
        <v>230</v>
      </c>
      <c r="E144" s="238" t="s">
        <v>77</v>
      </c>
      <c r="F144" s="242">
        <v>10.8</v>
      </c>
      <c r="G144" s="414"/>
      <c r="H144" s="274"/>
      <c r="I144" s="274"/>
      <c r="J144" s="290"/>
      <c r="K144" s="275"/>
      <c r="L144" s="276"/>
      <c r="O144" s="213"/>
    </row>
    <row r="145" spans="1:15" s="221" customFormat="1" x14ac:dyDescent="0.3">
      <c r="A145" s="228">
        <f>A143+1</f>
        <v>46</v>
      </c>
      <c r="B145" s="227"/>
      <c r="C145" s="226" t="s">
        <v>208</v>
      </c>
      <c r="D145" s="235" t="s">
        <v>209</v>
      </c>
      <c r="E145" s="225" t="s">
        <v>77</v>
      </c>
      <c r="F145" s="224">
        <f>F146</f>
        <v>11.5</v>
      </c>
      <c r="G145" s="411"/>
      <c r="H145" s="234"/>
      <c r="I145" s="234"/>
      <c r="J145" s="223">
        <f>ROUND(F145*G145,2)</f>
        <v>0</v>
      </c>
      <c r="K145" s="233">
        <v>2.8500000000000001E-3</v>
      </c>
      <c r="L145" s="222">
        <f>F145*K145</f>
        <v>3.2774999999999999E-2</v>
      </c>
    </row>
    <row r="146" spans="1:15" s="277" customFormat="1" ht="8.25" customHeight="1" x14ac:dyDescent="0.3">
      <c r="A146" s="270"/>
      <c r="B146" s="271"/>
      <c r="C146" s="298" t="s">
        <v>102</v>
      </c>
      <c r="D146" s="296" t="str">
        <f>D130</f>
        <v>Odpadní trouby z Cu plechu, kruhové, D 120 mm</v>
      </c>
      <c r="E146" s="239" t="s">
        <v>77</v>
      </c>
      <c r="F146" s="242">
        <f>F130</f>
        <v>11.5</v>
      </c>
      <c r="G146" s="414"/>
      <c r="H146" s="274"/>
      <c r="I146" s="274"/>
      <c r="J146" s="290"/>
      <c r="K146" s="275"/>
      <c r="L146" s="276"/>
      <c r="O146" s="213"/>
    </row>
    <row r="147" spans="1:15" s="221" customFormat="1" x14ac:dyDescent="0.3">
      <c r="A147" s="228">
        <f>A145+1</f>
        <v>47</v>
      </c>
      <c r="B147" s="227"/>
      <c r="C147" s="226" t="s">
        <v>216</v>
      </c>
      <c r="D147" s="235" t="s">
        <v>217</v>
      </c>
      <c r="E147" s="225" t="s">
        <v>77</v>
      </c>
      <c r="F147" s="224">
        <f>SUM(F148:F151)</f>
        <v>58.25</v>
      </c>
      <c r="G147" s="411"/>
      <c r="H147" s="234"/>
      <c r="I147" s="234"/>
      <c r="J147" s="223">
        <f t="shared" ref="J147" si="31">ROUND(F147*G147,2)</f>
        <v>0</v>
      </c>
      <c r="K147" s="233">
        <v>2.3E-3</v>
      </c>
      <c r="L147" s="222">
        <f>F147*K147</f>
        <v>0.13397500000000001</v>
      </c>
    </row>
    <row r="148" spans="1:15" s="277" customFormat="1" ht="8.25" customHeight="1" x14ac:dyDescent="0.3">
      <c r="A148" s="270"/>
      <c r="B148" s="271"/>
      <c r="C148" s="298" t="s">
        <v>102</v>
      </c>
      <c r="D148" s="296" t="str">
        <f>D134</f>
        <v>Oplechování okapů Cu, rš do 125mm krycí lišta mřížky.</v>
      </c>
      <c r="E148" s="239" t="s">
        <v>77</v>
      </c>
      <c r="F148" s="242">
        <f>F134</f>
        <v>14.1</v>
      </c>
      <c r="G148" s="414"/>
      <c r="H148" s="274"/>
      <c r="I148" s="274"/>
      <c r="J148" s="290"/>
      <c r="K148" s="275"/>
      <c r="L148" s="276"/>
      <c r="O148" s="213"/>
    </row>
    <row r="149" spans="1:15" s="277" customFormat="1" ht="8.25" customHeight="1" x14ac:dyDescent="0.3">
      <c r="A149" s="270"/>
      <c r="B149" s="271"/>
      <c r="C149" s="298" t="s">
        <v>102</v>
      </c>
      <c r="D149" s="296" t="str">
        <f>D138</f>
        <v>Oplechování parapetů včetně rohů z Cu, rš 350 mm</v>
      </c>
      <c r="E149" s="239" t="s">
        <v>77</v>
      </c>
      <c r="F149" s="242">
        <f>F138</f>
        <v>19.25</v>
      </c>
      <c r="G149" s="414"/>
      <c r="H149" s="274"/>
      <c r="I149" s="274"/>
      <c r="J149" s="290"/>
      <c r="K149" s="275"/>
      <c r="L149" s="276"/>
      <c r="O149" s="213"/>
    </row>
    <row r="150" spans="1:15" s="277" customFormat="1" ht="8.25" customHeight="1" x14ac:dyDescent="0.3">
      <c r="A150" s="270"/>
      <c r="B150" s="271"/>
      <c r="C150" s="298" t="s">
        <v>102</v>
      </c>
      <c r="D150" s="296" t="str">
        <f>D141</f>
        <v>Oplechování říms z Cu plechu, rš 250 mm</v>
      </c>
      <c r="E150" s="239" t="s">
        <v>77</v>
      </c>
      <c r="F150" s="242">
        <f>F141</f>
        <v>14.1</v>
      </c>
      <c r="G150" s="414"/>
      <c r="H150" s="274"/>
      <c r="I150" s="274"/>
      <c r="J150" s="290"/>
      <c r="K150" s="275"/>
      <c r="L150" s="276"/>
      <c r="O150" s="213"/>
    </row>
    <row r="151" spans="1:15" s="277" customFormat="1" ht="8.25" customHeight="1" x14ac:dyDescent="0.3">
      <c r="A151" s="270"/>
      <c r="B151" s="271"/>
      <c r="C151" s="298" t="s">
        <v>102</v>
      </c>
      <c r="D151" s="296" t="str">
        <f>D143</f>
        <v>Oplechování říms z Cu plechu, rš 350 mm</v>
      </c>
      <c r="E151" s="239" t="s">
        <v>77</v>
      </c>
      <c r="F151" s="242">
        <f>F143</f>
        <v>10.8</v>
      </c>
      <c r="G151" s="414"/>
      <c r="H151" s="274"/>
      <c r="I151" s="274"/>
      <c r="J151" s="290"/>
      <c r="K151" s="275"/>
      <c r="L151" s="276"/>
      <c r="O151" s="213"/>
    </row>
    <row r="152" spans="1:15" s="151" customFormat="1" x14ac:dyDescent="0.3">
      <c r="A152" s="228">
        <f>A147+1</f>
        <v>48</v>
      </c>
      <c r="B152" s="141"/>
      <c r="C152" s="236" t="s">
        <v>200</v>
      </c>
      <c r="D152" s="235" t="s">
        <v>201</v>
      </c>
      <c r="E152" s="225" t="s">
        <v>101</v>
      </c>
      <c r="F152" s="308">
        <v>2.1000000000000001E-2</v>
      </c>
      <c r="G152" s="420">
        <f>SUM(J130:J147)</f>
        <v>0</v>
      </c>
      <c r="H152" s="149"/>
      <c r="I152" s="149"/>
      <c r="J152" s="146">
        <f>ROUND(F152*G152,2)</f>
        <v>0</v>
      </c>
      <c r="K152" s="150"/>
      <c r="L152" s="127"/>
    </row>
    <row r="153" spans="1:15" s="151" customFormat="1" x14ac:dyDescent="0.3">
      <c r="A153" s="159"/>
      <c r="B153" s="160"/>
      <c r="C153" s="161"/>
      <c r="D153" s="162" t="str">
        <f>'1-Rekapitulace'!B15</f>
        <v>783 : Nátěry</v>
      </c>
      <c r="E153" s="163"/>
      <c r="F153" s="164"/>
      <c r="G153" s="421"/>
      <c r="H153" s="165"/>
      <c r="I153" s="165"/>
      <c r="J153" s="166">
        <f>SUM(J154:J159)</f>
        <v>0</v>
      </c>
      <c r="K153" s="167"/>
      <c r="L153" s="168">
        <f>SUM(L154:L159)</f>
        <v>0</v>
      </c>
    </row>
    <row r="154" spans="1:15" s="221" customFormat="1" x14ac:dyDescent="0.3">
      <c r="A154" s="228">
        <f>A152+1</f>
        <v>49</v>
      </c>
      <c r="B154" s="227"/>
      <c r="C154" s="236" t="s">
        <v>154</v>
      </c>
      <c r="D154" s="235" t="s">
        <v>155</v>
      </c>
      <c r="E154" s="225" t="s">
        <v>76</v>
      </c>
      <c r="F154" s="224">
        <f>F155</f>
        <v>3.92</v>
      </c>
      <c r="G154" s="411"/>
      <c r="H154" s="234"/>
      <c r="I154" s="234"/>
      <c r="J154" s="223">
        <f>ROUND(F154*G154,2)</f>
        <v>0</v>
      </c>
      <c r="K154" s="233"/>
      <c r="L154" s="222"/>
    </row>
    <row r="155" spans="1:15" s="201" customFormat="1" ht="7.5" customHeight="1" x14ac:dyDescent="0.3">
      <c r="A155" s="186"/>
      <c r="B155" s="187"/>
      <c r="C155" s="215" t="s">
        <v>102</v>
      </c>
      <c r="D155" s="214" t="str">
        <f>D156</f>
        <v>Odstranění nátěrů z kovových konstrukcí oškrábáním,opálením,obroušením</v>
      </c>
      <c r="E155" s="208" t="s">
        <v>76</v>
      </c>
      <c r="F155" s="242">
        <f>F156</f>
        <v>3.92</v>
      </c>
      <c r="G155" s="419"/>
      <c r="H155" s="188"/>
      <c r="I155" s="188"/>
      <c r="J155" s="189"/>
      <c r="K155" s="190"/>
      <c r="L155" s="191"/>
    </row>
    <row r="156" spans="1:15" s="221" customFormat="1" x14ac:dyDescent="0.3">
      <c r="A156" s="228">
        <f>A154+1</f>
        <v>50</v>
      </c>
      <c r="B156" s="227"/>
      <c r="C156" s="236" t="s">
        <v>184</v>
      </c>
      <c r="D156" s="279" t="s">
        <v>183</v>
      </c>
      <c r="E156" s="225" t="s">
        <v>76</v>
      </c>
      <c r="F156" s="224">
        <f>F157</f>
        <v>3.92</v>
      </c>
      <c r="G156" s="411"/>
      <c r="H156" s="234"/>
      <c r="I156" s="234"/>
      <c r="J156" s="223">
        <f>ROUND(F156*G156,2)</f>
        <v>0</v>
      </c>
      <c r="K156" s="233"/>
      <c r="L156" s="222"/>
    </row>
    <row r="157" spans="1:15" s="201" customFormat="1" ht="7.5" customHeight="1" x14ac:dyDescent="0.3">
      <c r="A157" s="186"/>
      <c r="B157" s="187"/>
      <c r="C157" s="215" t="s">
        <v>102</v>
      </c>
      <c r="D157" s="214" t="str">
        <f>D158</f>
        <v>Nátěr kovových konstrukcí 1 x antikorozní, 1 x základní, 2 x email</v>
      </c>
      <c r="E157" s="208" t="s">
        <v>76</v>
      </c>
      <c r="F157" s="242">
        <f>F158</f>
        <v>3.92</v>
      </c>
      <c r="G157" s="419"/>
      <c r="H157" s="188"/>
      <c r="I157" s="188"/>
      <c r="J157" s="189"/>
      <c r="K157" s="190"/>
      <c r="L157" s="191"/>
    </row>
    <row r="158" spans="1:15" s="221" customFormat="1" x14ac:dyDescent="0.3">
      <c r="A158" s="228">
        <f>A156+1</f>
        <v>51</v>
      </c>
      <c r="B158" s="227"/>
      <c r="C158" s="236" t="s">
        <v>159</v>
      </c>
      <c r="D158" s="235" t="s">
        <v>160</v>
      </c>
      <c r="E158" s="225" t="s">
        <v>76</v>
      </c>
      <c r="F158" s="145">
        <f>SUM(F159:F159)</f>
        <v>3.92</v>
      </c>
      <c r="G158" s="411"/>
      <c r="H158" s="234"/>
      <c r="I158" s="234"/>
      <c r="J158" s="223">
        <f>ROUND(F158*G158,2)</f>
        <v>0</v>
      </c>
      <c r="K158" s="233"/>
      <c r="L158" s="222"/>
    </row>
    <row r="159" spans="1:15" s="201" customFormat="1" ht="7.5" customHeight="1" x14ac:dyDescent="0.3">
      <c r="A159" s="186"/>
      <c r="B159" s="187"/>
      <c r="C159" s="200"/>
      <c r="D159" s="214" t="s">
        <v>185</v>
      </c>
      <c r="E159" s="208" t="s">
        <v>76</v>
      </c>
      <c r="F159" s="242">
        <f>4*0.98</f>
        <v>3.92</v>
      </c>
      <c r="G159" s="419"/>
      <c r="H159" s="188"/>
      <c r="I159" s="188"/>
      <c r="J159" s="189"/>
      <c r="K159" s="190"/>
      <c r="L159" s="191"/>
    </row>
    <row r="160" spans="1:15" x14ac:dyDescent="0.3">
      <c r="A160" s="156"/>
      <c r="B160" s="132"/>
      <c r="C160" s="133"/>
      <c r="D160" s="134" t="str">
        <f>'1-Rekapitulace'!B18</f>
        <v>90 : hodinové zúčtovací sazby (HZS)</v>
      </c>
      <c r="E160" s="135"/>
      <c r="F160" s="136"/>
      <c r="G160" s="413"/>
      <c r="H160" s="157"/>
      <c r="I160" s="157"/>
      <c r="J160" s="137">
        <f>SUM(J161:J169)</f>
        <v>0</v>
      </c>
      <c r="K160" s="158"/>
      <c r="L160" s="130">
        <f>SUM(L161:L169)</f>
        <v>0</v>
      </c>
    </row>
    <row r="161" spans="1:15" s="151" customFormat="1" x14ac:dyDescent="0.3">
      <c r="A161" s="140">
        <f>A158+1</f>
        <v>52</v>
      </c>
      <c r="B161" s="141"/>
      <c r="C161" s="142" t="s">
        <v>109</v>
      </c>
      <c r="D161" s="148" t="s">
        <v>110</v>
      </c>
      <c r="E161" s="144" t="s">
        <v>105</v>
      </c>
      <c r="F161" s="224">
        <f>SUM(F162:F163)</f>
        <v>90</v>
      </c>
      <c r="G161" s="420"/>
      <c r="H161" s="149"/>
      <c r="I161" s="149"/>
      <c r="J161" s="146">
        <f>ROUND(F161*G161,2)</f>
        <v>0</v>
      </c>
      <c r="K161" s="150">
        <v>0</v>
      </c>
      <c r="L161" s="127">
        <f>F161*K161</f>
        <v>0</v>
      </c>
    </row>
    <row r="162" spans="1:15" s="277" customFormat="1" ht="8.25" customHeight="1" x14ac:dyDescent="0.3">
      <c r="A162" s="270"/>
      <c r="B162" s="271"/>
      <c r="C162" s="298"/>
      <c r="D162" s="296" t="s">
        <v>252</v>
      </c>
      <c r="E162" s="239" t="s">
        <v>105</v>
      </c>
      <c r="F162" s="242">
        <v>21</v>
      </c>
      <c r="G162" s="414"/>
      <c r="H162" s="274"/>
      <c r="I162" s="274"/>
      <c r="J162" s="290"/>
      <c r="K162" s="275"/>
      <c r="L162" s="276"/>
      <c r="O162" s="213"/>
    </row>
    <row r="163" spans="1:15" s="277" customFormat="1" ht="8.25" customHeight="1" x14ac:dyDescent="0.3">
      <c r="A163" s="270"/>
      <c r="B163" s="271"/>
      <c r="C163" s="298"/>
      <c r="D163" s="296" t="s">
        <v>301</v>
      </c>
      <c r="E163" s="239" t="s">
        <v>105</v>
      </c>
      <c r="F163" s="242">
        <v>69</v>
      </c>
      <c r="G163" s="414"/>
      <c r="H163" s="274"/>
      <c r="I163" s="274"/>
      <c r="J163" s="290"/>
      <c r="K163" s="275"/>
      <c r="L163" s="276"/>
      <c r="O163" s="213"/>
    </row>
    <row r="164" spans="1:15" s="151" customFormat="1" x14ac:dyDescent="0.3">
      <c r="A164" s="140">
        <f>A161+1</f>
        <v>53</v>
      </c>
      <c r="B164" s="141"/>
      <c r="C164" s="142" t="s">
        <v>108</v>
      </c>
      <c r="D164" s="148" t="s">
        <v>162</v>
      </c>
      <c r="E164" s="144" t="s">
        <v>105</v>
      </c>
      <c r="F164" s="145">
        <f>SUM(F165:F169)</f>
        <v>94</v>
      </c>
      <c r="G164" s="420"/>
      <c r="H164" s="149"/>
      <c r="I164" s="149"/>
      <c r="J164" s="146">
        <f t="shared" ref="J164" si="32">ROUND(F164*G164,2)</f>
        <v>0</v>
      </c>
      <c r="K164" s="150">
        <v>0</v>
      </c>
      <c r="L164" s="127">
        <f t="shared" ref="L164" si="33">F164*K164</f>
        <v>0</v>
      </c>
    </row>
    <row r="165" spans="1:15" s="277" customFormat="1" ht="8.25" customHeight="1" x14ac:dyDescent="0.3">
      <c r="A165" s="270"/>
      <c r="B165" s="271"/>
      <c r="C165" s="298"/>
      <c r="D165" s="271" t="s">
        <v>250</v>
      </c>
      <c r="E165" s="239" t="s">
        <v>105</v>
      </c>
      <c r="F165" s="242">
        <f>40-28</f>
        <v>12</v>
      </c>
      <c r="G165" s="422"/>
      <c r="H165" s="274"/>
      <c r="I165" s="274"/>
      <c r="J165" s="290"/>
      <c r="K165" s="275"/>
      <c r="L165" s="276"/>
      <c r="O165" s="213"/>
    </row>
    <row r="166" spans="1:15" s="277" customFormat="1" ht="8.25" customHeight="1" x14ac:dyDescent="0.3">
      <c r="A166" s="270"/>
      <c r="B166" s="271"/>
      <c r="C166" s="298"/>
      <c r="D166" s="271" t="s">
        <v>251</v>
      </c>
      <c r="E166" s="239" t="s">
        <v>105</v>
      </c>
      <c r="F166" s="242">
        <f>46-29</f>
        <v>17</v>
      </c>
      <c r="G166" s="422"/>
      <c r="H166" s="274"/>
      <c r="I166" s="274"/>
      <c r="J166" s="290"/>
      <c r="K166" s="275"/>
      <c r="L166" s="276"/>
      <c r="O166" s="213"/>
    </row>
    <row r="167" spans="1:15" s="277" customFormat="1" ht="8.25" customHeight="1" x14ac:dyDescent="0.3">
      <c r="A167" s="270"/>
      <c r="B167" s="271"/>
      <c r="C167" s="298"/>
      <c r="D167" s="271" t="s">
        <v>263</v>
      </c>
      <c r="E167" s="239" t="s">
        <v>105</v>
      </c>
      <c r="F167" s="242">
        <f>58-37</f>
        <v>21</v>
      </c>
      <c r="G167" s="422"/>
      <c r="H167" s="274"/>
      <c r="I167" s="274"/>
      <c r="J167" s="290"/>
      <c r="K167" s="275"/>
      <c r="L167" s="276"/>
      <c r="O167" s="213"/>
    </row>
    <row r="168" spans="1:15" s="277" customFormat="1" ht="8.25" customHeight="1" x14ac:dyDescent="0.3">
      <c r="A168" s="270"/>
      <c r="B168" s="271"/>
      <c r="C168" s="298"/>
      <c r="D168" s="271" t="s">
        <v>264</v>
      </c>
      <c r="E168" s="239" t="s">
        <v>105</v>
      </c>
      <c r="F168" s="242">
        <v>20</v>
      </c>
      <c r="G168" s="422"/>
      <c r="H168" s="274"/>
      <c r="I168" s="274"/>
      <c r="J168" s="290"/>
      <c r="K168" s="275"/>
      <c r="L168" s="276"/>
      <c r="O168" s="213"/>
    </row>
    <row r="169" spans="1:15" s="277" customFormat="1" ht="8.25" customHeight="1" x14ac:dyDescent="0.3">
      <c r="A169" s="270"/>
      <c r="B169" s="271"/>
      <c r="C169" s="298"/>
      <c r="D169" s="271" t="s">
        <v>161</v>
      </c>
      <c r="E169" s="239" t="s">
        <v>105</v>
      </c>
      <c r="F169" s="242">
        <v>24</v>
      </c>
      <c r="G169" s="422"/>
      <c r="H169" s="274"/>
      <c r="I169" s="274"/>
      <c r="J169" s="290"/>
      <c r="K169" s="275"/>
      <c r="L169" s="276"/>
      <c r="O169" s="213"/>
    </row>
    <row r="170" spans="1:15" s="220" customFormat="1" x14ac:dyDescent="0.3">
      <c r="A170" s="263"/>
      <c r="B170" s="264"/>
      <c r="C170" s="265"/>
      <c r="D170" s="266" t="str">
        <f>'1-Rekapitulace'!B19</f>
        <v>94 : lešení, systémové bednění a stavební výtahy</v>
      </c>
      <c r="E170" s="267"/>
      <c r="F170" s="268"/>
      <c r="G170" s="423"/>
      <c r="H170" s="269"/>
      <c r="I170" s="269"/>
      <c r="J170" s="254">
        <f>SUM(J171:J183)</f>
        <v>0</v>
      </c>
      <c r="K170" s="255"/>
      <c r="L170" s="256">
        <f>SUM(L171:L183)</f>
        <v>7.2725058000000002</v>
      </c>
    </row>
    <row r="171" spans="1:15" s="221" customFormat="1" x14ac:dyDescent="0.3">
      <c r="A171" s="140">
        <f>A164+1</f>
        <v>54</v>
      </c>
      <c r="B171" s="227"/>
      <c r="C171" s="236" t="s">
        <v>123</v>
      </c>
      <c r="D171" s="235" t="s">
        <v>124</v>
      </c>
      <c r="E171" s="225" t="s">
        <v>76</v>
      </c>
      <c r="F171" s="224">
        <f>SUM(F172:F172)</f>
        <v>147.68</v>
      </c>
      <c r="G171" s="411"/>
      <c r="H171" s="234"/>
      <c r="I171" s="234"/>
      <c r="J171" s="223">
        <f>ROUND(F171*G171,2)</f>
        <v>0</v>
      </c>
      <c r="K171" s="233">
        <v>4.4060000000000002E-2</v>
      </c>
      <c r="L171" s="222">
        <f>F171*K171</f>
        <v>6.5067808000000005</v>
      </c>
    </row>
    <row r="172" spans="1:15" s="277" customFormat="1" ht="8.25" customHeight="1" x14ac:dyDescent="0.3">
      <c r="A172" s="270"/>
      <c r="B172" s="271"/>
      <c r="C172" s="298"/>
      <c r="D172" s="296" t="s">
        <v>170</v>
      </c>
      <c r="E172" s="239" t="s">
        <v>76</v>
      </c>
      <c r="F172" s="242">
        <f>14.2*10.4</f>
        <v>147.68</v>
      </c>
      <c r="G172" s="414"/>
      <c r="H172" s="274"/>
      <c r="I172" s="274"/>
      <c r="J172" s="290"/>
      <c r="K172" s="275"/>
      <c r="L172" s="276"/>
      <c r="O172" s="213"/>
    </row>
    <row r="173" spans="1:15" s="221" customFormat="1" x14ac:dyDescent="0.3">
      <c r="A173" s="228">
        <f>A171+1</f>
        <v>55</v>
      </c>
      <c r="B173" s="227"/>
      <c r="C173" s="236" t="s">
        <v>125</v>
      </c>
      <c r="D173" s="235" t="s">
        <v>126</v>
      </c>
      <c r="E173" s="225" t="s">
        <v>76</v>
      </c>
      <c r="F173" s="224">
        <f>F174</f>
        <v>443.04</v>
      </c>
      <c r="G173" s="411"/>
      <c r="H173" s="234"/>
      <c r="I173" s="234"/>
      <c r="J173" s="223">
        <f>ROUND(F173*G173,2)</f>
        <v>0</v>
      </c>
      <c r="K173" s="233">
        <v>0</v>
      </c>
      <c r="L173" s="222">
        <f t="shared" ref="L173:L182" si="34">F173*K173</f>
        <v>0</v>
      </c>
    </row>
    <row r="174" spans="1:15" s="277" customFormat="1" ht="8.25" customHeight="1" x14ac:dyDescent="0.3">
      <c r="A174" s="270"/>
      <c r="B174" s="271"/>
      <c r="C174" s="298" t="s">
        <v>171</v>
      </c>
      <c r="D174" s="296" t="s">
        <v>127</v>
      </c>
      <c r="E174" s="239" t="s">
        <v>76</v>
      </c>
      <c r="F174" s="242">
        <f>F171*C174</f>
        <v>443.04</v>
      </c>
      <c r="G174" s="414"/>
      <c r="H174" s="274"/>
      <c r="I174" s="274"/>
      <c r="J174" s="290"/>
      <c r="K174" s="275"/>
      <c r="L174" s="276"/>
      <c r="O174" s="213"/>
    </row>
    <row r="175" spans="1:15" s="221" customFormat="1" x14ac:dyDescent="0.3">
      <c r="A175" s="228">
        <f>A173+1</f>
        <v>56</v>
      </c>
      <c r="B175" s="227"/>
      <c r="C175" s="236" t="s">
        <v>128</v>
      </c>
      <c r="D175" s="235" t="s">
        <v>129</v>
      </c>
      <c r="E175" s="225" t="s">
        <v>76</v>
      </c>
      <c r="F175" s="224">
        <f>F171</f>
        <v>147.68</v>
      </c>
      <c r="G175" s="411"/>
      <c r="H175" s="234"/>
      <c r="I175" s="234"/>
      <c r="J175" s="223">
        <f t="shared" ref="J175:J182" si="35">ROUND(F175*G175,2)</f>
        <v>0</v>
      </c>
      <c r="K175" s="233">
        <v>0</v>
      </c>
      <c r="L175" s="222">
        <f t="shared" si="34"/>
        <v>0</v>
      </c>
    </row>
    <row r="176" spans="1:15" s="221" customFormat="1" x14ac:dyDescent="0.3">
      <c r="A176" s="228">
        <f>A175+1</f>
        <v>57</v>
      </c>
      <c r="B176" s="227"/>
      <c r="C176" s="226" t="s">
        <v>130</v>
      </c>
      <c r="D176" s="235" t="s">
        <v>131</v>
      </c>
      <c r="E176" s="225" t="s">
        <v>76</v>
      </c>
      <c r="F176" s="224">
        <f>SUM(F177:F177)</f>
        <v>147.68</v>
      </c>
      <c r="G176" s="411"/>
      <c r="H176" s="234"/>
      <c r="I176" s="234"/>
      <c r="J176" s="223">
        <f>ROUND(F176*G176,2)</f>
        <v>0</v>
      </c>
      <c r="K176" s="233">
        <v>0</v>
      </c>
      <c r="L176" s="222">
        <f>F176*K176</f>
        <v>0</v>
      </c>
    </row>
    <row r="177" spans="1:15" s="201" customFormat="1" ht="7.5" customHeight="1" x14ac:dyDescent="0.3">
      <c r="A177" s="186"/>
      <c r="B177" s="187"/>
      <c r="C177" s="215" t="s">
        <v>102</v>
      </c>
      <c r="D177" s="214" t="str">
        <f>D171</f>
        <v>Montáž lešení leh.řad.s podlahami,š.1,5 m, H 10 m</v>
      </c>
      <c r="E177" s="208" t="s">
        <v>76</v>
      </c>
      <c r="F177" s="242">
        <f>F171</f>
        <v>147.68</v>
      </c>
      <c r="G177" s="419"/>
      <c r="H177" s="188"/>
      <c r="I177" s="188"/>
      <c r="J177" s="189"/>
      <c r="K177" s="190"/>
      <c r="L177" s="191"/>
    </row>
    <row r="178" spans="1:15" s="221" customFormat="1" x14ac:dyDescent="0.3">
      <c r="A178" s="228">
        <f>A176+1</f>
        <v>58</v>
      </c>
      <c r="B178" s="227"/>
      <c r="C178" s="226" t="s">
        <v>132</v>
      </c>
      <c r="D178" s="235" t="s">
        <v>133</v>
      </c>
      <c r="E178" s="225" t="s">
        <v>76</v>
      </c>
      <c r="F178" s="224">
        <f>F176</f>
        <v>147.68</v>
      </c>
      <c r="G178" s="411"/>
      <c r="H178" s="234"/>
      <c r="I178" s="234"/>
      <c r="J178" s="223">
        <f>ROUND(F178*G178,2)</f>
        <v>0</v>
      </c>
      <c r="K178" s="233">
        <v>0</v>
      </c>
      <c r="L178" s="222">
        <f>F178*K178</f>
        <v>0</v>
      </c>
    </row>
    <row r="179" spans="1:15" s="221" customFormat="1" x14ac:dyDescent="0.3">
      <c r="A179" s="228">
        <f>A178+1</f>
        <v>59</v>
      </c>
      <c r="B179" s="227"/>
      <c r="C179" s="226" t="s">
        <v>134</v>
      </c>
      <c r="D179" s="235" t="s">
        <v>135</v>
      </c>
      <c r="E179" s="225" t="s">
        <v>76</v>
      </c>
      <c r="F179" s="224">
        <f>F178</f>
        <v>147.68</v>
      </c>
      <c r="G179" s="411"/>
      <c r="H179" s="234"/>
      <c r="I179" s="234"/>
      <c r="J179" s="223">
        <f t="shared" si="35"/>
        <v>0</v>
      </c>
      <c r="K179" s="233">
        <v>0</v>
      </c>
      <c r="L179" s="222">
        <f t="shared" si="34"/>
        <v>0</v>
      </c>
    </row>
    <row r="180" spans="1:15" s="221" customFormat="1" x14ac:dyDescent="0.3">
      <c r="A180" s="228">
        <f>A179+1</f>
        <v>60</v>
      </c>
      <c r="B180" s="227"/>
      <c r="C180" s="226" t="s">
        <v>136</v>
      </c>
      <c r="D180" s="235" t="s">
        <v>137</v>
      </c>
      <c r="E180" s="225" t="s">
        <v>77</v>
      </c>
      <c r="F180" s="224">
        <f>SUM(F181:F181)</f>
        <v>5</v>
      </c>
      <c r="G180" s="411"/>
      <c r="H180" s="234"/>
      <c r="I180" s="234"/>
      <c r="J180" s="223">
        <f t="shared" ref="J180" si="36">ROUND(F180*G180,2)</f>
        <v>0</v>
      </c>
      <c r="K180" s="233">
        <v>6.4899999999999999E-2</v>
      </c>
      <c r="L180" s="222">
        <f t="shared" ref="L180" si="37">F180*K180</f>
        <v>0.32450000000000001</v>
      </c>
    </row>
    <row r="181" spans="1:15" s="201" customFormat="1" ht="7.5" customHeight="1" x14ac:dyDescent="0.3">
      <c r="A181" s="186"/>
      <c r="B181" s="187"/>
      <c r="C181" s="215"/>
      <c r="D181" s="214" t="s">
        <v>298</v>
      </c>
      <c r="E181" s="208" t="s">
        <v>77</v>
      </c>
      <c r="F181" s="242">
        <f>2.5*2</f>
        <v>5</v>
      </c>
      <c r="G181" s="419"/>
      <c r="H181" s="188"/>
      <c r="I181" s="188"/>
      <c r="J181" s="189"/>
      <c r="K181" s="190"/>
      <c r="L181" s="191"/>
    </row>
    <row r="182" spans="1:15" s="221" customFormat="1" x14ac:dyDescent="0.3">
      <c r="A182" s="228">
        <f>A180+1</f>
        <v>61</v>
      </c>
      <c r="B182" s="227"/>
      <c r="C182" s="226" t="s">
        <v>299</v>
      </c>
      <c r="D182" s="235" t="s">
        <v>300</v>
      </c>
      <c r="E182" s="225" t="s">
        <v>76</v>
      </c>
      <c r="F182" s="224">
        <f>SUM(F183:F183)</f>
        <v>25</v>
      </c>
      <c r="G182" s="411"/>
      <c r="H182" s="234"/>
      <c r="I182" s="234"/>
      <c r="J182" s="223">
        <f t="shared" si="35"/>
        <v>0</v>
      </c>
      <c r="K182" s="233">
        <v>1.7649000000000001E-2</v>
      </c>
      <c r="L182" s="222">
        <f t="shared" si="34"/>
        <v>0.44122500000000003</v>
      </c>
    </row>
    <row r="183" spans="1:15" s="201" customFormat="1" ht="7.5" customHeight="1" x14ac:dyDescent="0.3">
      <c r="A183" s="306">
        <f>2.5*2</f>
        <v>5</v>
      </c>
      <c r="B183" s="187"/>
      <c r="C183" s="215"/>
      <c r="D183" s="214" t="s">
        <v>298</v>
      </c>
      <c r="E183" s="208" t="s">
        <v>76</v>
      </c>
      <c r="F183" s="242">
        <f>F181*A183</f>
        <v>25</v>
      </c>
      <c r="G183" s="419"/>
      <c r="H183" s="188"/>
      <c r="I183" s="188"/>
      <c r="J183" s="189"/>
      <c r="K183" s="190"/>
      <c r="L183" s="191"/>
    </row>
    <row r="184" spans="1:15" x14ac:dyDescent="0.3">
      <c r="A184" s="156"/>
      <c r="B184" s="132"/>
      <c r="C184" s="133"/>
      <c r="D184" s="134" t="str">
        <f>'1-Rekapitulace'!B20</f>
        <v>95 : různé dokončovací konstrukce a práce pozemních staveb</v>
      </c>
      <c r="E184" s="135"/>
      <c r="F184" s="136"/>
      <c r="G184" s="413"/>
      <c r="H184" s="157"/>
      <c r="I184" s="157"/>
      <c r="J184" s="137">
        <f>SUM(J185:J186)</f>
        <v>0</v>
      </c>
      <c r="K184" s="158"/>
      <c r="L184" s="130">
        <f>SUM(L185:L186)</f>
        <v>0</v>
      </c>
    </row>
    <row r="185" spans="1:15" s="221" customFormat="1" x14ac:dyDescent="0.3">
      <c r="A185" s="140">
        <f>A182+1</f>
        <v>62</v>
      </c>
      <c r="B185" s="227"/>
      <c r="C185" s="236" t="s">
        <v>163</v>
      </c>
      <c r="D185" s="235" t="s">
        <v>164</v>
      </c>
      <c r="E185" s="225" t="s">
        <v>100</v>
      </c>
      <c r="F185" s="224">
        <v>4</v>
      </c>
      <c r="G185" s="411"/>
      <c r="H185" s="234"/>
      <c r="I185" s="234"/>
      <c r="J185" s="223">
        <f>ROUND(F185*G185,2)</f>
        <v>0</v>
      </c>
      <c r="K185" s="233">
        <v>0</v>
      </c>
      <c r="L185" s="222">
        <f>F185*K185</f>
        <v>0</v>
      </c>
    </row>
    <row r="186" spans="1:15" s="203" customFormat="1" ht="8.25" customHeight="1" x14ac:dyDescent="0.3">
      <c r="A186" s="206"/>
      <c r="B186" s="207"/>
      <c r="C186" s="215"/>
      <c r="D186" s="242" t="s">
        <v>304</v>
      </c>
      <c r="E186" s="239"/>
      <c r="F186" s="242"/>
      <c r="G186" s="412"/>
      <c r="H186" s="209"/>
      <c r="I186" s="209"/>
      <c r="J186" s="210"/>
      <c r="K186" s="211"/>
      <c r="L186" s="212"/>
      <c r="O186" s="213"/>
    </row>
    <row r="187" spans="1:15" x14ac:dyDescent="0.3">
      <c r="A187" s="156"/>
      <c r="B187" s="132"/>
      <c r="C187" s="133"/>
      <c r="D187" s="134" t="str">
        <f>'1-Rekapitulace'!B21</f>
        <v>97 : prorážení otvorů a ostatní bourací práce</v>
      </c>
      <c r="E187" s="135"/>
      <c r="F187" s="136"/>
      <c r="G187" s="413"/>
      <c r="H187" s="157"/>
      <c r="I187" s="157"/>
      <c r="J187" s="137">
        <f>SUM(J188:J201)</f>
        <v>0</v>
      </c>
      <c r="K187" s="158"/>
      <c r="L187" s="130">
        <f>SUM(L188:L201)</f>
        <v>9.8954700217999978</v>
      </c>
    </row>
    <row r="188" spans="1:15" s="221" customFormat="1" x14ac:dyDescent="0.3">
      <c r="A188" s="228">
        <f>A185+1</f>
        <v>63</v>
      </c>
      <c r="B188" s="227"/>
      <c r="C188" s="236" t="s">
        <v>119</v>
      </c>
      <c r="D188" s="279" t="s">
        <v>120</v>
      </c>
      <c r="E188" s="225" t="s">
        <v>76</v>
      </c>
      <c r="F188" s="224">
        <f>SUM(F189:F191)</f>
        <v>92.548164999999997</v>
      </c>
      <c r="G188" s="424"/>
      <c r="H188" s="223"/>
      <c r="I188" s="223"/>
      <c r="J188" s="223">
        <f>ROUND(F188*G188,2)</f>
        <v>0</v>
      </c>
      <c r="K188" s="288">
        <v>5.8999999999999997E-2</v>
      </c>
      <c r="L188" s="222">
        <f>F188*K188</f>
        <v>5.4603417349999992</v>
      </c>
    </row>
    <row r="189" spans="1:15" s="203" customFormat="1" ht="8.25" customHeight="1" x14ac:dyDescent="0.3">
      <c r="A189" s="206"/>
      <c r="B189" s="207"/>
      <c r="C189" s="215" t="s">
        <v>102</v>
      </c>
      <c r="D189" s="242" t="str">
        <f>D101</f>
        <v>Omítka stěn,štuková,vápenná s vápen.hydraul.pojivem na pasiv.plochách</v>
      </c>
      <c r="E189" s="239" t="s">
        <v>76</v>
      </c>
      <c r="F189" s="242">
        <f>F101</f>
        <v>44.05</v>
      </c>
      <c r="G189" s="412"/>
      <c r="H189" s="209"/>
      <c r="I189" s="209"/>
      <c r="J189" s="210"/>
      <c r="K189" s="211"/>
      <c r="L189" s="212"/>
      <c r="O189" s="213"/>
    </row>
    <row r="190" spans="1:15" s="203" customFormat="1" ht="8.25" customHeight="1" x14ac:dyDescent="0.3">
      <c r="A190" s="206"/>
      <c r="B190" s="207"/>
      <c r="C190" s="215" t="s">
        <v>102</v>
      </c>
      <c r="D190" s="242" t="str">
        <f>D76</f>
        <v>Omítka jemná říms,šambrán z aktiv.malty s vápen.hydraul.pojivem</v>
      </c>
      <c r="E190" s="239" t="s">
        <v>76</v>
      </c>
      <c r="F190" s="242">
        <f>F76</f>
        <v>36.974564999999998</v>
      </c>
      <c r="G190" s="412"/>
      <c r="H190" s="209"/>
      <c r="I190" s="209"/>
      <c r="J190" s="210"/>
      <c r="K190" s="211"/>
      <c r="L190" s="212"/>
      <c r="O190" s="213"/>
    </row>
    <row r="191" spans="1:15" s="203" customFormat="1" ht="8.25" customHeight="1" x14ac:dyDescent="0.3">
      <c r="A191" s="206"/>
      <c r="B191" s="207"/>
      <c r="C191" s="215" t="s">
        <v>102</v>
      </c>
      <c r="D191" s="242" t="str">
        <f>D99</f>
        <v xml:space="preserve">Omítka ostění,nadpraží, štuková, vápenná s vápen.hydraul.pojivem </v>
      </c>
      <c r="E191" s="239" t="s">
        <v>76</v>
      </c>
      <c r="F191" s="242">
        <f>F99</f>
        <v>11.523600000000002</v>
      </c>
      <c r="G191" s="412"/>
      <c r="H191" s="209"/>
      <c r="I191" s="209"/>
      <c r="J191" s="210"/>
      <c r="K191" s="211"/>
      <c r="L191" s="212"/>
      <c r="O191" s="213"/>
    </row>
    <row r="192" spans="1:15" s="221" customFormat="1" x14ac:dyDescent="0.3">
      <c r="A192" s="228">
        <f>A188+1</f>
        <v>64</v>
      </c>
      <c r="B192" s="227"/>
      <c r="C192" s="236" t="s">
        <v>302</v>
      </c>
      <c r="D192" s="279" t="s">
        <v>303</v>
      </c>
      <c r="E192" s="225" t="s">
        <v>76</v>
      </c>
      <c r="F192" s="224">
        <f>F193</f>
        <v>92.548164999999997</v>
      </c>
      <c r="G192" s="424"/>
      <c r="H192" s="223"/>
      <c r="I192" s="223"/>
      <c r="J192" s="223">
        <f>ROUND(F192*G192,2)</f>
        <v>0</v>
      </c>
      <c r="K192" s="288">
        <v>1.4E-2</v>
      </c>
      <c r="L192" s="222">
        <f>F192*K192</f>
        <v>1.2956743099999999</v>
      </c>
    </row>
    <row r="193" spans="1:15" s="203" customFormat="1" ht="8.25" customHeight="1" x14ac:dyDescent="0.3">
      <c r="A193" s="206"/>
      <c r="B193" s="207"/>
      <c r="C193" s="215" t="s">
        <v>102</v>
      </c>
      <c r="D193" s="242" t="str">
        <f>D188</f>
        <v>Otlučení omítek vnějších MVC v složit.1-4 do 100 %</v>
      </c>
      <c r="E193" s="239" t="s">
        <v>76</v>
      </c>
      <c r="F193" s="242">
        <f>F188</f>
        <v>92.548164999999997</v>
      </c>
      <c r="G193" s="412"/>
      <c r="H193" s="209"/>
      <c r="I193" s="209"/>
      <c r="J193" s="210"/>
      <c r="K193" s="211"/>
      <c r="L193" s="212"/>
      <c r="O193" s="213"/>
    </row>
    <row r="194" spans="1:15" s="221" customFormat="1" x14ac:dyDescent="0.3">
      <c r="A194" s="228">
        <f>A192+1</f>
        <v>65</v>
      </c>
      <c r="B194" s="227"/>
      <c r="C194" s="236" t="s">
        <v>121</v>
      </c>
      <c r="D194" s="279" t="s">
        <v>122</v>
      </c>
      <c r="E194" s="225" t="s">
        <v>76</v>
      </c>
      <c r="F194" s="224">
        <f>F195</f>
        <v>92.548164999999997</v>
      </c>
      <c r="G194" s="424"/>
      <c r="H194" s="223"/>
      <c r="I194" s="223"/>
      <c r="J194" s="223">
        <f>ROUND(F194*G194,2)</f>
        <v>0</v>
      </c>
      <c r="K194" s="288">
        <v>1.4E-2</v>
      </c>
      <c r="L194" s="222">
        <f>F194*K194</f>
        <v>1.2956743099999999</v>
      </c>
    </row>
    <row r="195" spans="1:15" s="203" customFormat="1" ht="8.25" customHeight="1" x14ac:dyDescent="0.3">
      <c r="A195" s="206"/>
      <c r="B195" s="207"/>
      <c r="C195" s="215" t="s">
        <v>102</v>
      </c>
      <c r="D195" s="242" t="str">
        <f>D188</f>
        <v>Otlučení omítek vnějších MVC v složit.1-4 do 100 %</v>
      </c>
      <c r="E195" s="239" t="s">
        <v>76</v>
      </c>
      <c r="F195" s="242">
        <f>F188</f>
        <v>92.548164999999997</v>
      </c>
      <c r="G195" s="412"/>
      <c r="H195" s="209"/>
      <c r="I195" s="209"/>
      <c r="J195" s="210"/>
      <c r="K195" s="211"/>
      <c r="L195" s="212"/>
      <c r="O195" s="213"/>
    </row>
    <row r="196" spans="1:15" s="221" customFormat="1" x14ac:dyDescent="0.3">
      <c r="A196" s="228">
        <f>A194+1</f>
        <v>66</v>
      </c>
      <c r="B196" s="227"/>
      <c r="C196" s="236" t="s">
        <v>182</v>
      </c>
      <c r="D196" s="279" t="s">
        <v>197</v>
      </c>
      <c r="E196" s="225" t="s">
        <v>76</v>
      </c>
      <c r="F196" s="224">
        <f>SUM(F197:F197)</f>
        <v>20.416199999999996</v>
      </c>
      <c r="G196" s="424"/>
      <c r="H196" s="223"/>
      <c r="I196" s="223"/>
      <c r="J196" s="223">
        <f>ROUND(F196*G196,2)</f>
        <v>0</v>
      </c>
      <c r="K196" s="288">
        <v>1.3214E-2</v>
      </c>
      <c r="L196" s="222">
        <f>F196*K196</f>
        <v>0.26977966679999993</v>
      </c>
    </row>
    <row r="197" spans="1:15" s="203" customFormat="1" ht="8.25" customHeight="1" x14ac:dyDescent="0.3">
      <c r="A197" s="206"/>
      <c r="B197" s="207"/>
      <c r="C197" s="215" t="s">
        <v>102</v>
      </c>
      <c r="D197" s="242" t="str">
        <f>D83</f>
        <v>Oprava restaurátorskými postupy - aktivní prvky (prefabrikáty)</v>
      </c>
      <c r="E197" s="239" t="s">
        <v>76</v>
      </c>
      <c r="F197" s="242">
        <f>F83</f>
        <v>20.416199999999996</v>
      </c>
      <c r="G197" s="412"/>
      <c r="H197" s="209"/>
      <c r="I197" s="209"/>
      <c r="J197" s="210"/>
      <c r="K197" s="211"/>
      <c r="L197" s="212"/>
      <c r="O197" s="213"/>
    </row>
    <row r="198" spans="1:15" s="221" customFormat="1" x14ac:dyDescent="0.3">
      <c r="A198" s="228">
        <f>A196+1</f>
        <v>67</v>
      </c>
      <c r="B198" s="227"/>
      <c r="C198" s="226" t="s">
        <v>247</v>
      </c>
      <c r="D198" s="235" t="s">
        <v>253</v>
      </c>
      <c r="E198" s="225" t="s">
        <v>77</v>
      </c>
      <c r="F198" s="224">
        <f>SUM(F199:F199)</f>
        <v>58</v>
      </c>
      <c r="G198" s="411"/>
      <c r="H198" s="234">
        <f t="shared" ref="H198" si="38">ROUND(F198*AE198,2)</f>
        <v>0</v>
      </c>
      <c r="I198" s="234">
        <f t="shared" ref="I198" si="39">J198-H198</f>
        <v>0</v>
      </c>
      <c r="J198" s="223">
        <f t="shared" ref="J198" si="40">ROUND(F198*G198,2)</f>
        <v>0</v>
      </c>
      <c r="K198" s="233">
        <v>2.7E-2</v>
      </c>
      <c r="L198" s="222">
        <f>F198*K198</f>
        <v>1.5660000000000001</v>
      </c>
    </row>
    <row r="199" spans="1:15" s="277" customFormat="1" ht="8.25" customHeight="1" x14ac:dyDescent="0.3">
      <c r="A199" s="270"/>
      <c r="B199" s="271"/>
      <c r="C199" s="305"/>
      <c r="D199" s="296" t="str">
        <f>D8</f>
        <v>Oprava trhlin helikální nerezovou výztuží HB 8mm do drážek 10/45mm</v>
      </c>
      <c r="E199" s="238" t="s">
        <v>77</v>
      </c>
      <c r="F199" s="242">
        <f>F8</f>
        <v>58</v>
      </c>
      <c r="G199" s="414"/>
      <c r="H199" s="274"/>
      <c r="I199" s="274"/>
      <c r="J199" s="290"/>
      <c r="K199" s="275"/>
      <c r="L199" s="276"/>
    </row>
    <row r="200" spans="1:15" s="221" customFormat="1" x14ac:dyDescent="0.3">
      <c r="A200" s="228">
        <f>A198+1</f>
        <v>68</v>
      </c>
      <c r="B200" s="227"/>
      <c r="C200" s="236" t="s">
        <v>167</v>
      </c>
      <c r="D200" s="279" t="s">
        <v>168</v>
      </c>
      <c r="E200" s="225" t="s">
        <v>100</v>
      </c>
      <c r="F200" s="224">
        <v>8</v>
      </c>
      <c r="G200" s="424"/>
      <c r="H200" s="223">
        <f>ROUND(F200*AE200,2)</f>
        <v>0</v>
      </c>
      <c r="I200" s="223">
        <f>J200-H200</f>
        <v>0</v>
      </c>
      <c r="J200" s="223">
        <f>ROUND(F200*G200,2)</f>
        <v>0</v>
      </c>
      <c r="K200" s="288">
        <v>1E-3</v>
      </c>
      <c r="L200" s="222">
        <f>F200*K200</f>
        <v>8.0000000000000002E-3</v>
      </c>
    </row>
    <row r="201" spans="1:15" s="237" customFormat="1" ht="8.25" customHeight="1" x14ac:dyDescent="0.3">
      <c r="A201" s="232"/>
      <c r="B201" s="231"/>
      <c r="C201" s="253"/>
      <c r="D201" s="272" t="str">
        <f>D186</f>
        <v xml:space="preserve">Kovové  konstrukce  před okopáním omítek demontavána a přeipevněna na novou omítku 2ks á 2kotvy </v>
      </c>
      <c r="E201" s="238"/>
      <c r="F201" s="252"/>
      <c r="G201" s="415"/>
      <c r="H201" s="249"/>
      <c r="I201" s="249"/>
      <c r="J201" s="250"/>
      <c r="K201" s="230"/>
      <c r="L201" s="229"/>
    </row>
    <row r="202" spans="1:15" x14ac:dyDescent="0.3">
      <c r="A202" s="131"/>
      <c r="B202" s="132"/>
      <c r="C202" s="133"/>
      <c r="D202" s="134" t="str">
        <f>'1-Rekapitulace'!B23</f>
        <v>979 : Přesuny sutí</v>
      </c>
      <c r="E202" s="135"/>
      <c r="F202" s="136"/>
      <c r="G202" s="425"/>
      <c r="H202" s="136"/>
      <c r="I202" s="136"/>
      <c r="J202" s="137">
        <f>SUM(J203:J209)</f>
        <v>0</v>
      </c>
      <c r="K202" s="138"/>
      <c r="L202" s="130"/>
    </row>
    <row r="203" spans="1:15" x14ac:dyDescent="0.3">
      <c r="A203" s="140">
        <f>A200+1</f>
        <v>69</v>
      </c>
      <c r="B203" s="141"/>
      <c r="C203" s="142" t="s">
        <v>48</v>
      </c>
      <c r="D203" s="143" t="s">
        <v>49</v>
      </c>
      <c r="E203" s="144" t="s">
        <v>74</v>
      </c>
      <c r="F203" s="145">
        <f>F204</f>
        <v>10.062220021799998</v>
      </c>
      <c r="G203" s="426"/>
      <c r="H203" s="146"/>
      <c r="I203" s="146"/>
      <c r="J203" s="146">
        <f>ROUND(F203*G203,2)</f>
        <v>0</v>
      </c>
      <c r="K203" s="147"/>
      <c r="L203" s="127"/>
    </row>
    <row r="204" spans="1:15" x14ac:dyDescent="0.3">
      <c r="A204" s="140">
        <f t="shared" ref="A204:A209" si="41">A203+1</f>
        <v>70</v>
      </c>
      <c r="B204" s="141"/>
      <c r="C204" s="142" t="s">
        <v>53</v>
      </c>
      <c r="D204" s="143" t="s">
        <v>54</v>
      </c>
      <c r="E204" s="144" t="s">
        <v>74</v>
      </c>
      <c r="F204" s="145">
        <f>L129+L187</f>
        <v>10.062220021799998</v>
      </c>
      <c r="G204" s="426"/>
      <c r="H204" s="146"/>
      <c r="I204" s="146"/>
      <c r="J204" s="146">
        <f t="shared" ref="J204:J209" si="42">ROUND(F204*G204,2)</f>
        <v>0</v>
      </c>
      <c r="K204" s="147"/>
      <c r="L204" s="127"/>
    </row>
    <row r="205" spans="1:15" x14ac:dyDescent="0.3">
      <c r="A205" s="140">
        <f t="shared" si="41"/>
        <v>71</v>
      </c>
      <c r="B205" s="141"/>
      <c r="C205" s="142" t="s">
        <v>55</v>
      </c>
      <c r="D205" s="143" t="s">
        <v>56</v>
      </c>
      <c r="E205" s="144" t="s">
        <v>74</v>
      </c>
      <c r="F205" s="145">
        <f>F204*3</f>
        <v>30.186660065399995</v>
      </c>
      <c r="G205" s="426"/>
      <c r="H205" s="146"/>
      <c r="I205" s="146"/>
      <c r="J205" s="146">
        <f t="shared" si="42"/>
        <v>0</v>
      </c>
      <c r="K205" s="147"/>
      <c r="L205" s="127"/>
    </row>
    <row r="206" spans="1:15" x14ac:dyDescent="0.3">
      <c r="A206" s="140">
        <f t="shared" si="41"/>
        <v>72</v>
      </c>
      <c r="B206" s="141"/>
      <c r="C206" s="142" t="s">
        <v>57</v>
      </c>
      <c r="D206" s="143" t="s">
        <v>58</v>
      </c>
      <c r="E206" s="144" t="s">
        <v>74</v>
      </c>
      <c r="F206" s="145">
        <f>F204</f>
        <v>10.062220021799998</v>
      </c>
      <c r="G206" s="426"/>
      <c r="H206" s="146"/>
      <c r="I206" s="146"/>
      <c r="J206" s="146">
        <f t="shared" si="42"/>
        <v>0</v>
      </c>
      <c r="K206" s="147"/>
      <c r="L206" s="127"/>
    </row>
    <row r="207" spans="1:15" x14ac:dyDescent="0.3">
      <c r="A207" s="140">
        <f t="shared" si="41"/>
        <v>73</v>
      </c>
      <c r="B207" s="141"/>
      <c r="C207" s="142" t="s">
        <v>50</v>
      </c>
      <c r="D207" s="143" t="s">
        <v>51</v>
      </c>
      <c r="E207" s="144" t="s">
        <v>74</v>
      </c>
      <c r="F207" s="145">
        <f>F206</f>
        <v>10.062220021799998</v>
      </c>
      <c r="G207" s="426"/>
      <c r="H207" s="146"/>
      <c r="I207" s="146"/>
      <c r="J207" s="146">
        <f t="shared" si="42"/>
        <v>0</v>
      </c>
      <c r="K207" s="147"/>
      <c r="L207" s="127"/>
    </row>
    <row r="208" spans="1:15" x14ac:dyDescent="0.3">
      <c r="A208" s="140">
        <f t="shared" si="41"/>
        <v>74</v>
      </c>
      <c r="B208" s="141"/>
      <c r="C208" s="142" t="s">
        <v>52</v>
      </c>
      <c r="D208" s="143" t="s">
        <v>146</v>
      </c>
      <c r="E208" s="144" t="s">
        <v>74</v>
      </c>
      <c r="F208" s="145">
        <f>F207*5</f>
        <v>50.311100108999995</v>
      </c>
      <c r="G208" s="426"/>
      <c r="H208" s="146"/>
      <c r="I208" s="146"/>
      <c r="J208" s="146">
        <f t="shared" si="42"/>
        <v>0</v>
      </c>
      <c r="K208" s="147"/>
      <c r="L208" s="127"/>
    </row>
    <row r="209" spans="1:15" s="123" customFormat="1" x14ac:dyDescent="0.3">
      <c r="A209" s="140">
        <f t="shared" si="41"/>
        <v>75</v>
      </c>
      <c r="B209" s="240"/>
      <c r="C209" s="142" t="s">
        <v>310</v>
      </c>
      <c r="D209" s="143" t="s">
        <v>311</v>
      </c>
      <c r="E209" s="144" t="s">
        <v>74</v>
      </c>
      <c r="F209" s="145">
        <f>F207</f>
        <v>10.062220021799998</v>
      </c>
      <c r="G209" s="426"/>
      <c r="H209" s="146"/>
      <c r="I209" s="146"/>
      <c r="J209" s="146">
        <f t="shared" si="42"/>
        <v>0</v>
      </c>
      <c r="K209" s="147"/>
      <c r="L209" s="127"/>
    </row>
    <row r="210" spans="1:15" x14ac:dyDescent="0.3">
      <c r="A210" s="156"/>
      <c r="B210" s="132"/>
      <c r="C210" s="133"/>
      <c r="D210" s="134" t="str">
        <f>'1-Rekapitulace'!B24</f>
        <v>998 : Přesun hmot</v>
      </c>
      <c r="E210" s="135"/>
      <c r="F210" s="136"/>
      <c r="G210" s="413"/>
      <c r="H210" s="157"/>
      <c r="I210" s="157"/>
      <c r="J210" s="137">
        <f>SUM(J211:J212)</f>
        <v>0</v>
      </c>
      <c r="K210" s="158"/>
      <c r="L210" s="130">
        <f>SUM(L211:L211)</f>
        <v>0</v>
      </c>
    </row>
    <row r="211" spans="1:15" x14ac:dyDescent="0.3">
      <c r="A211" s="140">
        <f>A209+1</f>
        <v>76</v>
      </c>
      <c r="B211" s="141"/>
      <c r="C211" s="142" t="s">
        <v>65</v>
      </c>
      <c r="D211" s="148" t="s">
        <v>66</v>
      </c>
      <c r="E211" s="144" t="s">
        <v>74</v>
      </c>
      <c r="F211" s="145">
        <f>SUM(L184,L160,L16,L39,L170,L7)</f>
        <v>26.770813384618499</v>
      </c>
      <c r="G211" s="420"/>
      <c r="H211" s="149"/>
      <c r="I211" s="149"/>
      <c r="J211" s="146">
        <f>ROUND(F211*G211,2)</f>
        <v>0</v>
      </c>
      <c r="K211" s="150"/>
      <c r="L211" s="127"/>
    </row>
    <row r="212" spans="1:15" s="203" customFormat="1" ht="8.25" customHeight="1" x14ac:dyDescent="0.3">
      <c r="A212" s="206"/>
      <c r="B212" s="207"/>
      <c r="C212" s="215"/>
      <c r="D212" s="242" t="s">
        <v>67</v>
      </c>
      <c r="E212" s="239"/>
      <c r="F212" s="242"/>
      <c r="G212" s="351"/>
      <c r="H212" s="209"/>
      <c r="I212" s="209"/>
      <c r="J212" s="210"/>
      <c r="K212" s="211"/>
      <c r="L212" s="212"/>
      <c r="O212" s="213"/>
    </row>
    <row r="213" spans="1:15" x14ac:dyDescent="0.3">
      <c r="A213" s="169"/>
      <c r="B213" s="170"/>
      <c r="C213" s="171"/>
      <c r="D213" s="172"/>
      <c r="E213" s="173"/>
      <c r="F213" s="170"/>
      <c r="G213" s="174"/>
      <c r="H213" s="174"/>
      <c r="I213" s="174"/>
      <c r="J213" s="285">
        <f>SUM(J7:J212)/2</f>
        <v>0</v>
      </c>
      <c r="K213" s="175"/>
      <c r="L213" s="176"/>
    </row>
    <row r="214" spans="1:15" x14ac:dyDescent="0.3">
      <c r="D214" s="204"/>
      <c r="E214" s="205"/>
      <c r="J214" s="286">
        <f>'1-Rekapitulace'!H26</f>
        <v>0</v>
      </c>
    </row>
    <row r="215" spans="1:15" x14ac:dyDescent="0.3">
      <c r="A215" s="156"/>
      <c r="B215" s="132"/>
      <c r="C215" s="185"/>
      <c r="D215" s="134"/>
      <c r="E215" s="135"/>
      <c r="F215" s="192"/>
      <c r="G215" s="157"/>
      <c r="H215" s="157"/>
      <c r="I215" s="157"/>
      <c r="J215" s="137"/>
      <c r="K215" s="158"/>
      <c r="L215" s="130"/>
    </row>
    <row r="216" spans="1:15" x14ac:dyDescent="0.3">
      <c r="F216" s="192"/>
    </row>
  </sheetData>
  <sheetProtection algorithmName="SHA-512" hashValue="xTThJa4EFQ74flLVqR2sVzmePFo/Z3huw53ZTOTUJ7JxawTKZilCgf46BGIbCMJyi8EgDzwtlwVuaT87p1hpug==" saltValue="uH9ASbT5WtYj7Nbf/H7sbQ==" spinCount="100000" sheet="1" objects="1" scenarios="1"/>
  <mergeCells count="9">
    <mergeCell ref="K5:L5"/>
    <mergeCell ref="A2:C3"/>
    <mergeCell ref="A4:C5"/>
    <mergeCell ref="D2:D3"/>
    <mergeCell ref="D4:D5"/>
    <mergeCell ref="J4:J5"/>
    <mergeCell ref="J2:J3"/>
    <mergeCell ref="E2:G3"/>
    <mergeCell ref="E4:G5"/>
  </mergeCells>
  <phoneticPr fontId="22" type="noConversion"/>
  <printOptions gridLines="1"/>
  <pageMargins left="0.59055118110236227" right="0.19685039370078741" top="0.47244094488188981" bottom="0.35433070866141736" header="0" footer="0"/>
  <pageSetup paperSize="9" scale="95" orientation="portrait" verticalDpi="300" r:id="rId1"/>
  <headerFooter alignWithMargins="0">
    <oddFooter>Stránka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3</vt:i4>
      </vt:variant>
    </vt:vector>
  </HeadingPairs>
  <TitlesOfParts>
    <vt:vector size="6" baseType="lpstr">
      <vt:lpstr>1-Krycí list</vt:lpstr>
      <vt:lpstr>1-Rekapitulace</vt:lpstr>
      <vt:lpstr>1-Položky</vt:lpstr>
      <vt:lpstr>'1-Krycí list'!Oblast_tisku</vt:lpstr>
      <vt:lpstr>'1-Položky'!Oblast_tisku</vt:lpstr>
      <vt:lpstr>'1-Rekapitulace'!Oblast_tisku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Chudá Lucie</cp:lastModifiedBy>
  <cp:lastPrinted>2021-10-22T08:51:46Z</cp:lastPrinted>
  <dcterms:created xsi:type="dcterms:W3CDTF">1997-01-24T11:07:25Z</dcterms:created>
  <dcterms:modified xsi:type="dcterms:W3CDTF">2022-03-04T13:09:21Z</dcterms:modified>
</cp:coreProperties>
</file>